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740"/>
  </bookViews>
  <sheets>
    <sheet name="Приложение 1" sheetId="1" r:id="rId1"/>
    <sheet name="Приложение 2" sheetId="2" r:id="rId2"/>
    <sheet name="Приложение 3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3" l="1"/>
  <c r="N15" i="3"/>
  <c r="M15" i="3"/>
  <c r="L15" i="3"/>
  <c r="K15" i="3"/>
  <c r="J15" i="3"/>
  <c r="I15" i="3"/>
  <c r="H15" i="3"/>
  <c r="O14" i="3"/>
  <c r="N14" i="3"/>
  <c r="M14" i="3"/>
  <c r="L14" i="3"/>
  <c r="K14" i="3"/>
  <c r="J14" i="3"/>
  <c r="I14" i="3"/>
  <c r="H14" i="3"/>
  <c r="G14" i="3"/>
  <c r="F14" i="3"/>
  <c r="O13" i="3"/>
  <c r="N13" i="3"/>
  <c r="M13" i="3"/>
  <c r="L13" i="3"/>
  <c r="K13" i="3"/>
  <c r="J13" i="3"/>
  <c r="I13" i="3"/>
  <c r="H13" i="3"/>
  <c r="I207" i="2"/>
  <c r="E207" i="2"/>
  <c r="L206" i="2"/>
  <c r="K206" i="2"/>
  <c r="J206" i="2"/>
  <c r="I206" i="2"/>
  <c r="H206" i="2"/>
  <c r="G206" i="2"/>
  <c r="F206" i="2"/>
  <c r="E206" i="2"/>
  <c r="D206" i="2"/>
  <c r="C206" i="2"/>
  <c r="I205" i="2"/>
  <c r="E205" i="2"/>
  <c r="C195" i="2"/>
  <c r="C194" i="2"/>
  <c r="L193" i="2"/>
  <c r="K193" i="2"/>
  <c r="J193" i="2"/>
  <c r="I193" i="2"/>
  <c r="H193" i="2"/>
  <c r="G193" i="2"/>
  <c r="F193" i="2"/>
  <c r="E193" i="2"/>
  <c r="C193" i="2" s="1"/>
  <c r="D193" i="2"/>
  <c r="C192" i="2"/>
  <c r="C191" i="2"/>
  <c r="L190" i="2"/>
  <c r="K190" i="2"/>
  <c r="J190" i="2"/>
  <c r="I190" i="2"/>
  <c r="H190" i="2"/>
  <c r="G190" i="2"/>
  <c r="F190" i="2"/>
  <c r="E190" i="2"/>
  <c r="C190" i="2" s="1"/>
  <c r="D190" i="2"/>
  <c r="C189" i="2"/>
  <c r="C188" i="2"/>
  <c r="L187" i="2"/>
  <c r="K187" i="2"/>
  <c r="J187" i="2"/>
  <c r="I187" i="2"/>
  <c r="H187" i="2"/>
  <c r="G187" i="2"/>
  <c r="F187" i="2"/>
  <c r="E187" i="2"/>
  <c r="C187" i="2" s="1"/>
  <c r="D187" i="2"/>
  <c r="C185" i="2"/>
  <c r="C184" i="2"/>
  <c r="K183" i="2"/>
  <c r="J183" i="2"/>
  <c r="I183" i="2"/>
  <c r="H183" i="2"/>
  <c r="G183" i="2"/>
  <c r="F183" i="2"/>
  <c r="E183" i="2"/>
  <c r="D183" i="2"/>
  <c r="C183" i="2" s="1"/>
  <c r="C182" i="2"/>
  <c r="C181" i="2"/>
  <c r="D180" i="2"/>
  <c r="C180" i="2" s="1"/>
  <c r="L179" i="2"/>
  <c r="L207" i="2" s="1"/>
  <c r="K179" i="2"/>
  <c r="K207" i="2" s="1"/>
  <c r="K205" i="2" s="1"/>
  <c r="J179" i="2"/>
  <c r="J207" i="2" s="1"/>
  <c r="J205" i="2" s="1"/>
  <c r="I179" i="2"/>
  <c r="H179" i="2"/>
  <c r="H207" i="2" s="1"/>
  <c r="G179" i="2"/>
  <c r="G207" i="2" s="1"/>
  <c r="G205" i="2" s="1"/>
  <c r="F179" i="2"/>
  <c r="F207" i="2" s="1"/>
  <c r="F205" i="2" s="1"/>
  <c r="E179" i="2"/>
  <c r="D179" i="2"/>
  <c r="D207" i="2" s="1"/>
  <c r="C207" i="2" s="1"/>
  <c r="C178" i="2"/>
  <c r="Z177" i="2"/>
  <c r="Z175" i="2"/>
  <c r="Y174" i="2"/>
  <c r="X174" i="2"/>
  <c r="W174" i="2"/>
  <c r="V174" i="2"/>
  <c r="U174" i="2"/>
  <c r="T174" i="2"/>
  <c r="S174" i="2"/>
  <c r="R174" i="2"/>
  <c r="Q174" i="2"/>
  <c r="P174" i="2"/>
  <c r="O174" i="2"/>
  <c r="Z174" i="2" s="1"/>
  <c r="C159" i="2"/>
  <c r="C158" i="2"/>
  <c r="C157" i="2"/>
  <c r="L156" i="2"/>
  <c r="K156" i="2"/>
  <c r="J156" i="2"/>
  <c r="I156" i="2"/>
  <c r="H156" i="2"/>
  <c r="G156" i="2"/>
  <c r="F156" i="2"/>
  <c r="E156" i="2"/>
  <c r="D156" i="2"/>
  <c r="C156" i="2" s="1"/>
  <c r="Y155" i="2"/>
  <c r="X155" i="2"/>
  <c r="W155" i="2"/>
  <c r="V155" i="2"/>
  <c r="U155" i="2"/>
  <c r="T155" i="2"/>
  <c r="S155" i="2"/>
  <c r="R155" i="2"/>
  <c r="Q155" i="2"/>
  <c r="P155" i="2"/>
  <c r="O155" i="2"/>
  <c r="Z155" i="2" s="1"/>
  <c r="C155" i="2"/>
  <c r="C154" i="2"/>
  <c r="L153" i="2"/>
  <c r="K153" i="2"/>
  <c r="J153" i="2"/>
  <c r="I153" i="2"/>
  <c r="H153" i="2"/>
  <c r="G153" i="2"/>
  <c r="F153" i="2"/>
  <c r="E153" i="2"/>
  <c r="D153" i="2"/>
  <c r="C153" i="2" s="1"/>
  <c r="C152" i="2"/>
  <c r="C151" i="2"/>
  <c r="L150" i="2"/>
  <c r="K150" i="2"/>
  <c r="J150" i="2"/>
  <c r="I150" i="2"/>
  <c r="H150" i="2"/>
  <c r="G150" i="2"/>
  <c r="F150" i="2"/>
  <c r="E150" i="2"/>
  <c r="D150" i="2"/>
  <c r="C150" i="2" s="1"/>
  <c r="C149" i="2"/>
  <c r="C148" i="2"/>
  <c r="L147" i="2"/>
  <c r="K147" i="2"/>
  <c r="J147" i="2"/>
  <c r="I147" i="2"/>
  <c r="H147" i="2"/>
  <c r="G147" i="2"/>
  <c r="F147" i="2"/>
  <c r="E147" i="2"/>
  <c r="D147" i="2"/>
  <c r="C147" i="2" s="1"/>
  <c r="C146" i="2"/>
  <c r="C145" i="2"/>
  <c r="L144" i="2"/>
  <c r="K144" i="2"/>
  <c r="J144" i="2"/>
  <c r="I144" i="2"/>
  <c r="H144" i="2"/>
  <c r="G144" i="2"/>
  <c r="F144" i="2"/>
  <c r="E144" i="2"/>
  <c r="D144" i="2"/>
  <c r="C144" i="2" s="1"/>
  <c r="C143" i="2"/>
  <c r="C142" i="2"/>
  <c r="L141" i="2"/>
  <c r="K141" i="2"/>
  <c r="J141" i="2"/>
  <c r="I141" i="2"/>
  <c r="H141" i="2"/>
  <c r="G141" i="2"/>
  <c r="F141" i="2"/>
  <c r="E141" i="2"/>
  <c r="D141" i="2"/>
  <c r="C141" i="2" s="1"/>
  <c r="T140" i="2"/>
  <c r="S140" i="2"/>
  <c r="R140" i="2"/>
  <c r="Q140" i="2"/>
  <c r="P140" i="2"/>
  <c r="O140" i="2"/>
  <c r="Z140" i="2" s="1"/>
  <c r="L140" i="2"/>
  <c r="K140" i="2"/>
  <c r="J140" i="2"/>
  <c r="I140" i="2"/>
  <c r="H140" i="2"/>
  <c r="G140" i="2"/>
  <c r="F140" i="2"/>
  <c r="E140" i="2"/>
  <c r="C140" i="2" s="1"/>
  <c r="L139" i="2"/>
  <c r="K139" i="2"/>
  <c r="K138" i="2" s="1"/>
  <c r="J139" i="2"/>
  <c r="J138" i="2" s="1"/>
  <c r="I139" i="2"/>
  <c r="H139" i="2"/>
  <c r="G139" i="2"/>
  <c r="G138" i="2" s="1"/>
  <c r="F139" i="2"/>
  <c r="F138" i="2" s="1"/>
  <c r="E139" i="2"/>
  <c r="D139" i="2"/>
  <c r="C139" i="2"/>
  <c r="L138" i="2"/>
  <c r="I138" i="2"/>
  <c r="H138" i="2"/>
  <c r="E138" i="2"/>
  <c r="D138" i="2"/>
  <c r="C138" i="2" s="1"/>
  <c r="U137" i="2"/>
  <c r="T137" i="2"/>
  <c r="S137" i="2"/>
  <c r="R137" i="2"/>
  <c r="Q137" i="2"/>
  <c r="P137" i="2"/>
  <c r="O137" i="2"/>
  <c r="Z137" i="2" s="1"/>
  <c r="I137" i="2"/>
  <c r="J137" i="2" s="1"/>
  <c r="H137" i="2"/>
  <c r="C136" i="2"/>
  <c r="I135" i="2"/>
  <c r="H135" i="2"/>
  <c r="G135" i="2"/>
  <c r="F135" i="2"/>
  <c r="E135" i="2"/>
  <c r="D135" i="2"/>
  <c r="H134" i="2"/>
  <c r="C133" i="2"/>
  <c r="Q132" i="2"/>
  <c r="P132" i="2"/>
  <c r="O132" i="2"/>
  <c r="Z132" i="2" s="1"/>
  <c r="G132" i="2"/>
  <c r="T132" i="2" s="1"/>
  <c r="F132" i="2"/>
  <c r="S132" i="2" s="1"/>
  <c r="E132" i="2"/>
  <c r="R132" i="2" s="1"/>
  <c r="D132" i="2"/>
  <c r="G131" i="2"/>
  <c r="F131" i="2"/>
  <c r="E131" i="2"/>
  <c r="D131" i="2"/>
  <c r="G15" i="3" s="1"/>
  <c r="F15" i="3" s="1"/>
  <c r="F130" i="2"/>
  <c r="E130" i="2"/>
  <c r="D130" i="2"/>
  <c r="D129" i="2" s="1"/>
  <c r="G13" i="3" s="1"/>
  <c r="F13" i="3" s="1"/>
  <c r="C130" i="2"/>
  <c r="G129" i="2"/>
  <c r="F129" i="2"/>
  <c r="I128" i="2"/>
  <c r="H128" i="2"/>
  <c r="C127" i="2"/>
  <c r="H126" i="2"/>
  <c r="G126" i="2"/>
  <c r="F126" i="2"/>
  <c r="E126" i="2"/>
  <c r="D126" i="2"/>
  <c r="C125" i="2"/>
  <c r="C124" i="2"/>
  <c r="L123" i="2"/>
  <c r="K123" i="2"/>
  <c r="J123" i="2"/>
  <c r="I123" i="2"/>
  <c r="H123" i="2"/>
  <c r="G123" i="2"/>
  <c r="F123" i="2"/>
  <c r="E123" i="2"/>
  <c r="D123" i="2"/>
  <c r="C123" i="2" s="1"/>
  <c r="J122" i="2"/>
  <c r="H122" i="2"/>
  <c r="I122" i="2" s="1"/>
  <c r="C121" i="2"/>
  <c r="I120" i="2"/>
  <c r="H120" i="2"/>
  <c r="G120" i="2"/>
  <c r="F120" i="2"/>
  <c r="E120" i="2"/>
  <c r="D120" i="2"/>
  <c r="I119" i="2"/>
  <c r="J119" i="2" s="1"/>
  <c r="H119" i="2"/>
  <c r="C118" i="2"/>
  <c r="J117" i="2"/>
  <c r="I117" i="2"/>
  <c r="H117" i="2"/>
  <c r="G117" i="2"/>
  <c r="F117" i="2"/>
  <c r="E117" i="2"/>
  <c r="D117" i="2"/>
  <c r="H116" i="2"/>
  <c r="C115" i="2"/>
  <c r="G114" i="2"/>
  <c r="F114" i="2"/>
  <c r="E114" i="2"/>
  <c r="D114" i="2"/>
  <c r="I113" i="2"/>
  <c r="H113" i="2"/>
  <c r="C112" i="2"/>
  <c r="H111" i="2"/>
  <c r="G111" i="2"/>
  <c r="F111" i="2"/>
  <c r="E111" i="2"/>
  <c r="D111" i="2"/>
  <c r="C110" i="2"/>
  <c r="C109" i="2"/>
  <c r="L108" i="2"/>
  <c r="K108" i="2"/>
  <c r="J108" i="2"/>
  <c r="I108" i="2"/>
  <c r="H108" i="2"/>
  <c r="G108" i="2"/>
  <c r="F108" i="2"/>
  <c r="E108" i="2"/>
  <c r="D108" i="2"/>
  <c r="C108" i="2" s="1"/>
  <c r="C107" i="2"/>
  <c r="C106" i="2"/>
  <c r="L105" i="2"/>
  <c r="K105" i="2"/>
  <c r="J105" i="2"/>
  <c r="I105" i="2"/>
  <c r="H105" i="2"/>
  <c r="G105" i="2"/>
  <c r="F105" i="2"/>
  <c r="E105" i="2"/>
  <c r="D105" i="2"/>
  <c r="C105" i="2" s="1"/>
  <c r="C104" i="2"/>
  <c r="C103" i="2"/>
  <c r="L102" i="2"/>
  <c r="K102" i="2"/>
  <c r="J102" i="2"/>
  <c r="I102" i="2"/>
  <c r="H102" i="2"/>
  <c r="G102" i="2"/>
  <c r="F102" i="2"/>
  <c r="E102" i="2"/>
  <c r="D102" i="2"/>
  <c r="C102" i="2" s="1"/>
  <c r="J101" i="2"/>
  <c r="I101" i="2"/>
  <c r="H101" i="2"/>
  <c r="G101" i="2"/>
  <c r="C100" i="2"/>
  <c r="I99" i="2"/>
  <c r="H99" i="2"/>
  <c r="G99" i="2"/>
  <c r="F99" i="2"/>
  <c r="E99" i="2"/>
  <c r="D99" i="2"/>
  <c r="C98" i="2"/>
  <c r="C97" i="2"/>
  <c r="L96" i="2"/>
  <c r="K96" i="2"/>
  <c r="J96" i="2"/>
  <c r="I96" i="2"/>
  <c r="H96" i="2"/>
  <c r="G96" i="2"/>
  <c r="F96" i="2"/>
  <c r="E96" i="2"/>
  <c r="D96" i="2"/>
  <c r="C96" i="2" s="1"/>
  <c r="H95" i="2"/>
  <c r="C94" i="2"/>
  <c r="G93" i="2"/>
  <c r="F93" i="2"/>
  <c r="E93" i="2"/>
  <c r="D93" i="2"/>
  <c r="K92" i="2"/>
  <c r="I92" i="2"/>
  <c r="J92" i="2" s="1"/>
  <c r="J90" i="2" s="1"/>
  <c r="H92" i="2"/>
  <c r="C91" i="2"/>
  <c r="Z90" i="2"/>
  <c r="I90" i="2"/>
  <c r="H90" i="2"/>
  <c r="G90" i="2"/>
  <c r="F90" i="2"/>
  <c r="E90" i="2"/>
  <c r="D90" i="2"/>
  <c r="Z89" i="2"/>
  <c r="H89" i="2"/>
  <c r="I89" i="2" s="1"/>
  <c r="I87" i="2" s="1"/>
  <c r="C88" i="2"/>
  <c r="Z87" i="2"/>
  <c r="G87" i="2"/>
  <c r="F87" i="2"/>
  <c r="E87" i="2"/>
  <c r="D87" i="2"/>
  <c r="H86" i="2"/>
  <c r="C85" i="2"/>
  <c r="Z84" i="2"/>
  <c r="G84" i="2"/>
  <c r="F84" i="2"/>
  <c r="E84" i="2"/>
  <c r="D84" i="2"/>
  <c r="K83" i="2"/>
  <c r="L83" i="2" s="1"/>
  <c r="L81" i="2" s="1"/>
  <c r="C82" i="2"/>
  <c r="Z81" i="2"/>
  <c r="K81" i="2"/>
  <c r="J81" i="2"/>
  <c r="I81" i="2"/>
  <c r="H81" i="2"/>
  <c r="G81" i="2"/>
  <c r="F81" i="2"/>
  <c r="E81" i="2"/>
  <c r="D81" i="2"/>
  <c r="C81" i="2"/>
  <c r="I80" i="2"/>
  <c r="H80" i="2"/>
  <c r="C79" i="2"/>
  <c r="T78" i="2"/>
  <c r="S78" i="2"/>
  <c r="R78" i="2"/>
  <c r="P78" i="2"/>
  <c r="O78" i="2"/>
  <c r="Z78" i="2" s="1"/>
  <c r="H78" i="2"/>
  <c r="U78" i="2" s="1"/>
  <c r="G78" i="2"/>
  <c r="F78" i="2"/>
  <c r="E78" i="2"/>
  <c r="D78" i="2"/>
  <c r="G77" i="2"/>
  <c r="C76" i="2"/>
  <c r="P75" i="2"/>
  <c r="O75" i="2"/>
  <c r="Z75" i="2" s="1"/>
  <c r="F75" i="2"/>
  <c r="S75" i="2" s="1"/>
  <c r="E75" i="2"/>
  <c r="R75" i="2" s="1"/>
  <c r="D75" i="2"/>
  <c r="Q75" i="2" s="1"/>
  <c r="C74" i="2"/>
  <c r="C73" i="2"/>
  <c r="X72" i="2"/>
  <c r="W72" i="2"/>
  <c r="T72" i="2"/>
  <c r="S72" i="2"/>
  <c r="P72" i="2"/>
  <c r="O72" i="2"/>
  <c r="Z72" i="2" s="1"/>
  <c r="L72" i="2"/>
  <c r="Y72" i="2" s="1"/>
  <c r="K72" i="2"/>
  <c r="J72" i="2"/>
  <c r="I72" i="2"/>
  <c r="V72" i="2" s="1"/>
  <c r="H72" i="2"/>
  <c r="U72" i="2" s="1"/>
  <c r="G72" i="2"/>
  <c r="F72" i="2"/>
  <c r="E72" i="2"/>
  <c r="R72" i="2" s="1"/>
  <c r="D72" i="2"/>
  <c r="Q72" i="2" s="1"/>
  <c r="C71" i="2"/>
  <c r="C70" i="2"/>
  <c r="X69" i="2"/>
  <c r="W69" i="2"/>
  <c r="T69" i="2"/>
  <c r="S69" i="2"/>
  <c r="P69" i="2"/>
  <c r="O69" i="2"/>
  <c r="Z69" i="2" s="1"/>
  <c r="L69" i="2"/>
  <c r="Y69" i="2" s="1"/>
  <c r="K69" i="2"/>
  <c r="J69" i="2"/>
  <c r="I69" i="2"/>
  <c r="V69" i="2" s="1"/>
  <c r="H69" i="2"/>
  <c r="U69" i="2" s="1"/>
  <c r="G69" i="2"/>
  <c r="F69" i="2"/>
  <c r="E69" i="2"/>
  <c r="R69" i="2" s="1"/>
  <c r="D69" i="2"/>
  <c r="Q69" i="2" s="1"/>
  <c r="Z68" i="2"/>
  <c r="H68" i="2"/>
  <c r="C67" i="2"/>
  <c r="Z66" i="2"/>
  <c r="H66" i="2"/>
  <c r="G66" i="2"/>
  <c r="F66" i="2"/>
  <c r="E66" i="2"/>
  <c r="D66" i="2"/>
  <c r="J65" i="2"/>
  <c r="C64" i="2"/>
  <c r="Z63" i="2"/>
  <c r="I63" i="2"/>
  <c r="H63" i="2"/>
  <c r="G63" i="2"/>
  <c r="F63" i="2"/>
  <c r="E63" i="2"/>
  <c r="D63" i="2"/>
  <c r="J62" i="2"/>
  <c r="I62" i="2"/>
  <c r="I60" i="2" s="1"/>
  <c r="H62" i="2"/>
  <c r="D62" i="2"/>
  <c r="C61" i="2"/>
  <c r="Z60" i="2"/>
  <c r="H60" i="2"/>
  <c r="G60" i="2"/>
  <c r="F60" i="2"/>
  <c r="E60" i="2"/>
  <c r="D60" i="2"/>
  <c r="I59" i="2"/>
  <c r="I57" i="2" s="1"/>
  <c r="V57" i="2" s="1"/>
  <c r="V37" i="2" s="1"/>
  <c r="H59" i="2"/>
  <c r="G59" i="2"/>
  <c r="C58" i="2"/>
  <c r="T57" i="2"/>
  <c r="S57" i="2"/>
  <c r="S37" i="2" s="1"/>
  <c r="P57" i="2"/>
  <c r="O57" i="2"/>
  <c r="H57" i="2"/>
  <c r="U57" i="2" s="1"/>
  <c r="U37" i="2" s="1"/>
  <c r="G57" i="2"/>
  <c r="F57" i="2"/>
  <c r="E57" i="2"/>
  <c r="R57" i="2" s="1"/>
  <c r="D57" i="2"/>
  <c r="Q57" i="2" s="1"/>
  <c r="Q37" i="2" s="1"/>
  <c r="C56" i="2"/>
  <c r="C55" i="2"/>
  <c r="Z54" i="2"/>
  <c r="L54" i="2"/>
  <c r="K54" i="2"/>
  <c r="J54" i="2"/>
  <c r="I54" i="2"/>
  <c r="H54" i="2"/>
  <c r="G54" i="2"/>
  <c r="F54" i="2"/>
  <c r="C54" i="2" s="1"/>
  <c r="E54" i="2"/>
  <c r="D54" i="2"/>
  <c r="Z53" i="2"/>
  <c r="I53" i="2"/>
  <c r="I51" i="2" s="1"/>
  <c r="H53" i="2"/>
  <c r="G53" i="2"/>
  <c r="F53" i="2"/>
  <c r="E53" i="2"/>
  <c r="E51" i="2" s="1"/>
  <c r="D53" i="2"/>
  <c r="Z52" i="2"/>
  <c r="C52" i="2"/>
  <c r="Z51" i="2"/>
  <c r="L51" i="2"/>
  <c r="K51" i="2"/>
  <c r="J51" i="2"/>
  <c r="H51" i="2"/>
  <c r="G51" i="2"/>
  <c r="D51" i="2"/>
  <c r="F50" i="2"/>
  <c r="E50" i="2"/>
  <c r="D50" i="2"/>
  <c r="C50" i="2"/>
  <c r="C49" i="2"/>
  <c r="Z48" i="2"/>
  <c r="L48" i="2"/>
  <c r="K48" i="2"/>
  <c r="J48" i="2"/>
  <c r="I48" i="2"/>
  <c r="H48" i="2"/>
  <c r="G48" i="2"/>
  <c r="F48" i="2"/>
  <c r="E48" i="2"/>
  <c r="D48" i="2"/>
  <c r="C48" i="2"/>
  <c r="G47" i="2"/>
  <c r="F47" i="2"/>
  <c r="F45" i="2" s="1"/>
  <c r="E47" i="2"/>
  <c r="C46" i="2"/>
  <c r="G45" i="2"/>
  <c r="D45" i="2"/>
  <c r="G44" i="2"/>
  <c r="F44" i="2"/>
  <c r="E44" i="2"/>
  <c r="D44" i="2"/>
  <c r="L43" i="2"/>
  <c r="K43" i="2"/>
  <c r="J43" i="2"/>
  <c r="I43" i="2"/>
  <c r="H43" i="2"/>
  <c r="G43" i="2"/>
  <c r="F43" i="2"/>
  <c r="E43" i="2"/>
  <c r="D43" i="2"/>
  <c r="D42" i="2" s="1"/>
  <c r="C43" i="2"/>
  <c r="F42" i="2"/>
  <c r="E42" i="2"/>
  <c r="G41" i="2"/>
  <c r="L40" i="2"/>
  <c r="K40" i="2"/>
  <c r="J40" i="2"/>
  <c r="I40" i="2"/>
  <c r="H40" i="2"/>
  <c r="G40" i="2"/>
  <c r="F40" i="2"/>
  <c r="F37" i="2" s="1"/>
  <c r="E40" i="2"/>
  <c r="G39" i="2"/>
  <c r="E39" i="2"/>
  <c r="D39" i="2"/>
  <c r="AA38" i="2"/>
  <c r="Z38" i="2"/>
  <c r="G38" i="2"/>
  <c r="J12" i="3" s="1"/>
  <c r="E38" i="2"/>
  <c r="H12" i="3" s="1"/>
  <c r="D38" i="2"/>
  <c r="G12" i="3" s="1"/>
  <c r="AA37" i="2"/>
  <c r="T37" i="2"/>
  <c r="P37" i="2"/>
  <c r="L37" i="2"/>
  <c r="O11" i="3" s="1"/>
  <c r="J37" i="2"/>
  <c r="I37" i="2"/>
  <c r="L11" i="3" s="1"/>
  <c r="H37" i="2"/>
  <c r="K11" i="3" s="1"/>
  <c r="E37" i="2"/>
  <c r="H11" i="3" s="1"/>
  <c r="H10" i="3" s="1"/>
  <c r="D37" i="2"/>
  <c r="G11" i="3" s="1"/>
  <c r="AA36" i="2"/>
  <c r="Y36" i="2"/>
  <c r="X36" i="2"/>
  <c r="W36" i="2"/>
  <c r="V36" i="2"/>
  <c r="U36" i="2"/>
  <c r="T36" i="2"/>
  <c r="S36" i="2"/>
  <c r="R36" i="2"/>
  <c r="Q36" i="2"/>
  <c r="P36" i="2"/>
  <c r="O36" i="2"/>
  <c r="Z36" i="2" s="1"/>
  <c r="E36" i="2"/>
  <c r="L33" i="2"/>
  <c r="K33" i="2"/>
  <c r="J33" i="2"/>
  <c r="I33" i="2"/>
  <c r="H33" i="2"/>
  <c r="G33" i="2"/>
  <c r="F33" i="2"/>
  <c r="E33" i="2"/>
  <c r="D33" i="2"/>
  <c r="C33" i="2"/>
  <c r="C31" i="2"/>
  <c r="C30" i="2"/>
  <c r="Z29" i="2"/>
  <c r="L29" i="2"/>
  <c r="K29" i="2"/>
  <c r="J29" i="2"/>
  <c r="I29" i="2"/>
  <c r="H29" i="2"/>
  <c r="G29" i="2"/>
  <c r="F29" i="2"/>
  <c r="D29" i="2"/>
  <c r="C29" i="2" s="1"/>
  <c r="Z28" i="2"/>
  <c r="C28" i="2"/>
  <c r="C27" i="2"/>
  <c r="AF26" i="2"/>
  <c r="Z26" i="2"/>
  <c r="L26" i="2"/>
  <c r="K26" i="2"/>
  <c r="J26" i="2"/>
  <c r="I26" i="2"/>
  <c r="H26" i="2"/>
  <c r="G26" i="2"/>
  <c r="F26" i="2"/>
  <c r="Z25" i="2"/>
  <c r="C25" i="2"/>
  <c r="C24" i="2"/>
  <c r="AF23" i="2"/>
  <c r="Z23" i="2"/>
  <c r="F23" i="2"/>
  <c r="E23" i="2"/>
  <c r="C23" i="2" s="1"/>
  <c r="D23" i="2"/>
  <c r="Z22" i="2"/>
  <c r="C22" i="2"/>
  <c r="C21" i="2"/>
  <c r="Z20" i="2"/>
  <c r="L20" i="2"/>
  <c r="K20" i="2"/>
  <c r="J20" i="2"/>
  <c r="I20" i="2"/>
  <c r="H20" i="2"/>
  <c r="G20" i="2"/>
  <c r="F20" i="2"/>
  <c r="E20" i="2"/>
  <c r="D20" i="2"/>
  <c r="C20" i="2" s="1"/>
  <c r="T19" i="2"/>
  <c r="U19" i="2" s="1"/>
  <c r="V19" i="2" s="1"/>
  <c r="W19" i="2" s="1"/>
  <c r="X19" i="2" s="1"/>
  <c r="Y19" i="2" s="1"/>
  <c r="Z19" i="2" s="1"/>
  <c r="S19" i="2"/>
  <c r="R19" i="2"/>
  <c r="Z18" i="2"/>
  <c r="Y18" i="2"/>
  <c r="X18" i="2"/>
  <c r="W18" i="2"/>
  <c r="V18" i="2"/>
  <c r="U18" i="2"/>
  <c r="T18" i="2"/>
  <c r="S18" i="2"/>
  <c r="R18" i="2"/>
  <c r="Q18" i="2"/>
  <c r="P18" i="2"/>
  <c r="O18" i="2"/>
  <c r="L18" i="2"/>
  <c r="K18" i="2"/>
  <c r="K16" i="2" s="1"/>
  <c r="J18" i="2"/>
  <c r="I18" i="2"/>
  <c r="H18" i="2"/>
  <c r="G18" i="2"/>
  <c r="F18" i="2"/>
  <c r="E18" i="2"/>
  <c r="D18" i="2"/>
  <c r="C18" i="2"/>
  <c r="Y17" i="2"/>
  <c r="X17" i="2"/>
  <c r="W17" i="2"/>
  <c r="V17" i="2"/>
  <c r="U17" i="2"/>
  <c r="T17" i="2"/>
  <c r="S17" i="2"/>
  <c r="R17" i="2"/>
  <c r="Q17" i="2"/>
  <c r="P17" i="2"/>
  <c r="O17" i="2"/>
  <c r="Z17" i="2" s="1"/>
  <c r="L17" i="2"/>
  <c r="K17" i="2"/>
  <c r="J17" i="2"/>
  <c r="I17" i="2"/>
  <c r="H17" i="2"/>
  <c r="G17" i="2"/>
  <c r="F17" i="2"/>
  <c r="E17" i="2"/>
  <c r="D17" i="2"/>
  <c r="Y16" i="2"/>
  <c r="X16" i="2"/>
  <c r="W16" i="2"/>
  <c r="V16" i="2"/>
  <c r="U16" i="2"/>
  <c r="T16" i="2"/>
  <c r="S16" i="2"/>
  <c r="R16" i="2"/>
  <c r="Q16" i="2"/>
  <c r="P16" i="2"/>
  <c r="O16" i="2"/>
  <c r="J16" i="2"/>
  <c r="F16" i="2"/>
  <c r="Z14" i="2"/>
  <c r="Z12" i="2"/>
  <c r="M68" i="1"/>
  <c r="M67" i="1"/>
  <c r="M66" i="1"/>
  <c r="M65" i="1"/>
  <c r="E64" i="1"/>
  <c r="E54" i="1" s="1"/>
  <c r="E42" i="1" s="1"/>
  <c r="D64" i="1"/>
  <c r="C64" i="1"/>
  <c r="L63" i="1"/>
  <c r="L62" i="1"/>
  <c r="L61" i="1"/>
  <c r="L60" i="1"/>
  <c r="E59" i="1"/>
  <c r="D59" i="1"/>
  <c r="C59" i="1"/>
  <c r="L58" i="1"/>
  <c r="L57" i="1"/>
  <c r="L55" i="1"/>
  <c r="I54" i="1"/>
  <c r="H54" i="1"/>
  <c r="L53" i="1"/>
  <c r="L52" i="1"/>
  <c r="L51" i="1"/>
  <c r="L50" i="1"/>
  <c r="L49" i="1"/>
  <c r="L48" i="1"/>
  <c r="L47" i="1"/>
  <c r="E46" i="1"/>
  <c r="D46" i="1"/>
  <c r="J44" i="1"/>
  <c r="I44" i="1"/>
  <c r="H44" i="1"/>
  <c r="H42" i="1" s="1"/>
  <c r="G44" i="1"/>
  <c r="G54" i="1" s="1"/>
  <c r="F44" i="1"/>
  <c r="E44" i="1"/>
  <c r="D44" i="1"/>
  <c r="D54" i="1" s="1"/>
  <c r="L43" i="1"/>
  <c r="I42" i="1"/>
  <c r="G42" i="1"/>
  <c r="L41" i="1"/>
  <c r="L40" i="1"/>
  <c r="L32" i="1"/>
  <c r="L28" i="1"/>
  <c r="A28" i="1"/>
  <c r="A29" i="1" s="1"/>
  <c r="A30" i="1" s="1"/>
  <c r="A31" i="1" s="1"/>
  <c r="A32" i="1" s="1"/>
  <c r="L26" i="1"/>
  <c r="L25" i="1"/>
  <c r="M11" i="1"/>
  <c r="F10" i="1"/>
  <c r="G10" i="1" s="1"/>
  <c r="H10" i="1" s="1"/>
  <c r="I10" i="1" s="1"/>
  <c r="J10" i="1" s="1"/>
  <c r="K10" i="1" s="1"/>
  <c r="L10" i="1" s="1"/>
  <c r="M10" i="1" s="1"/>
  <c r="I11" i="3" l="1"/>
  <c r="J54" i="1"/>
  <c r="J42" i="1" s="1"/>
  <c r="L64" i="1"/>
  <c r="M11" i="3"/>
  <c r="H42" i="2"/>
  <c r="J60" i="2"/>
  <c r="K62" i="2"/>
  <c r="U140" i="2"/>
  <c r="I95" i="2"/>
  <c r="H93" i="2"/>
  <c r="H44" i="2"/>
  <c r="W137" i="2"/>
  <c r="K137" i="2"/>
  <c r="J135" i="2"/>
  <c r="D42" i="1"/>
  <c r="F54" i="1"/>
  <c r="F42" i="1" s="1"/>
  <c r="L59" i="1"/>
  <c r="D200" i="2"/>
  <c r="D197" i="2"/>
  <c r="C17" i="2"/>
  <c r="D16" i="2"/>
  <c r="H200" i="2"/>
  <c r="H197" i="2"/>
  <c r="H16" i="2"/>
  <c r="L200" i="2"/>
  <c r="L197" i="2"/>
  <c r="L16" i="2"/>
  <c r="R37" i="2"/>
  <c r="G75" i="2"/>
  <c r="T75" i="2" s="1"/>
  <c r="H77" i="2"/>
  <c r="C83" i="2"/>
  <c r="L92" i="2"/>
  <c r="L90" i="2" s="1"/>
  <c r="C90" i="2" s="1"/>
  <c r="K90" i="2"/>
  <c r="C37" i="2"/>
  <c r="Z57" i="2"/>
  <c r="O37" i="2"/>
  <c r="Z37" i="2" s="1"/>
  <c r="J59" i="2"/>
  <c r="J63" i="2"/>
  <c r="K65" i="2"/>
  <c r="E197" i="2"/>
  <c r="E200" i="2"/>
  <c r="E16" i="2"/>
  <c r="I197" i="2"/>
  <c r="I200" i="2"/>
  <c r="I16" i="2"/>
  <c r="G198" i="2"/>
  <c r="G201" i="2"/>
  <c r="C46" i="1"/>
  <c r="G16" i="2"/>
  <c r="Z16" i="2"/>
  <c r="C26" i="2"/>
  <c r="F39" i="2"/>
  <c r="C40" i="2"/>
  <c r="G42" i="2"/>
  <c r="G37" i="2"/>
  <c r="G200" i="2" s="1"/>
  <c r="G199" i="2" s="1"/>
  <c r="K37" i="2"/>
  <c r="E45" i="2"/>
  <c r="F51" i="2"/>
  <c r="C51" i="2" s="1"/>
  <c r="F38" i="2"/>
  <c r="I12" i="3" s="1"/>
  <c r="C53" i="2"/>
  <c r="H47" i="2"/>
  <c r="H45" i="2" s="1"/>
  <c r="I68" i="2"/>
  <c r="H38" i="2"/>
  <c r="K12" i="3" s="1"/>
  <c r="K101" i="2"/>
  <c r="J99" i="2"/>
  <c r="D205" i="2"/>
  <c r="Q78" i="2"/>
  <c r="J113" i="2"/>
  <c r="I111" i="2"/>
  <c r="I116" i="2"/>
  <c r="H114" i="2"/>
  <c r="F197" i="2"/>
  <c r="F200" i="2"/>
  <c r="J197" i="2"/>
  <c r="J200" i="2"/>
  <c r="D198" i="2"/>
  <c r="D201" i="2"/>
  <c r="G10" i="3"/>
  <c r="C69" i="2"/>
  <c r="C72" i="2"/>
  <c r="I78" i="2"/>
  <c r="V78" i="2" s="1"/>
  <c r="J80" i="2"/>
  <c r="I86" i="2"/>
  <c r="H87" i="2"/>
  <c r="J89" i="2"/>
  <c r="K119" i="2"/>
  <c r="E129" i="2"/>
  <c r="K200" i="2"/>
  <c r="K197" i="2"/>
  <c r="E201" i="2"/>
  <c r="E198" i="2"/>
  <c r="D36" i="2"/>
  <c r="H84" i="2"/>
  <c r="K122" i="2"/>
  <c r="J120" i="2"/>
  <c r="J128" i="2"/>
  <c r="I126" i="2"/>
  <c r="H205" i="2"/>
  <c r="L205" i="2"/>
  <c r="H132" i="2"/>
  <c r="I134" i="2"/>
  <c r="V137" i="2"/>
  <c r="C179" i="2"/>
  <c r="D177" i="2"/>
  <c r="C177" i="2" s="1"/>
  <c r="H131" i="2"/>
  <c r="H129" i="2" s="1"/>
  <c r="J86" i="2" l="1"/>
  <c r="I84" i="2"/>
  <c r="K10" i="3"/>
  <c r="K99" i="2"/>
  <c r="C99" i="2" s="1"/>
  <c r="L101" i="2"/>
  <c r="L99" i="2" s="1"/>
  <c r="C101" i="2"/>
  <c r="J68" i="2"/>
  <c r="I66" i="2"/>
  <c r="I47" i="2"/>
  <c r="E199" i="2"/>
  <c r="U132" i="2"/>
  <c r="H36" i="2"/>
  <c r="G197" i="2"/>
  <c r="G196" i="2" s="1"/>
  <c r="L119" i="2"/>
  <c r="K117" i="2"/>
  <c r="K80" i="2"/>
  <c r="J78" i="2"/>
  <c r="H201" i="2"/>
  <c r="K113" i="2"/>
  <c r="J111" i="2"/>
  <c r="N11" i="3"/>
  <c r="E196" i="2"/>
  <c r="F198" i="2"/>
  <c r="C16" i="2"/>
  <c r="V140" i="2"/>
  <c r="I93" i="2"/>
  <c r="J95" i="2"/>
  <c r="I44" i="2"/>
  <c r="I42" i="2" s="1"/>
  <c r="J134" i="2"/>
  <c r="I132" i="2"/>
  <c r="V132" i="2" s="1"/>
  <c r="I131" i="2"/>
  <c r="I129" i="2" s="1"/>
  <c r="L122" i="2"/>
  <c r="K120" i="2"/>
  <c r="K89" i="2"/>
  <c r="J87" i="2"/>
  <c r="H198" i="2"/>
  <c r="J116" i="2"/>
  <c r="I114" i="2"/>
  <c r="C205" i="2"/>
  <c r="C92" i="2"/>
  <c r="I77" i="2"/>
  <c r="H75" i="2"/>
  <c r="H41" i="2"/>
  <c r="F201" i="2"/>
  <c r="X137" i="2"/>
  <c r="L137" i="2"/>
  <c r="C137" i="2" s="1"/>
  <c r="K135" i="2"/>
  <c r="F36" i="2"/>
  <c r="K128" i="2"/>
  <c r="J126" i="2"/>
  <c r="J11" i="3"/>
  <c r="G36" i="2"/>
  <c r="C44" i="1"/>
  <c r="L46" i="1"/>
  <c r="K63" i="2"/>
  <c r="C63" i="2" s="1"/>
  <c r="L65" i="2"/>
  <c r="L63" i="2" s="1"/>
  <c r="K59" i="2"/>
  <c r="J57" i="2"/>
  <c r="H196" i="2"/>
  <c r="D196" i="2"/>
  <c r="C197" i="2"/>
  <c r="I10" i="3"/>
  <c r="F199" i="2"/>
  <c r="H199" i="2"/>
  <c r="C200" i="2"/>
  <c r="D199" i="2"/>
  <c r="L62" i="2"/>
  <c r="K60" i="2"/>
  <c r="L120" i="2" l="1"/>
  <c r="C122" i="2"/>
  <c r="C65" i="2"/>
  <c r="L59" i="2"/>
  <c r="K57" i="2"/>
  <c r="X57" i="2" s="1"/>
  <c r="X37" i="2" s="1"/>
  <c r="L128" i="2"/>
  <c r="K126" i="2"/>
  <c r="L135" i="2"/>
  <c r="C135" i="2" s="1"/>
  <c r="Y137" i="2"/>
  <c r="U75" i="2"/>
  <c r="K116" i="2"/>
  <c r="J114" i="2"/>
  <c r="L113" i="2"/>
  <c r="L111" i="2" s="1"/>
  <c r="C111" i="2" s="1"/>
  <c r="K111" i="2"/>
  <c r="L117" i="2"/>
  <c r="C117" i="2" s="1"/>
  <c r="C119" i="2"/>
  <c r="K86" i="2"/>
  <c r="J84" i="2"/>
  <c r="L60" i="2"/>
  <c r="C60" i="2" s="1"/>
  <c r="J10" i="3"/>
  <c r="F11" i="3"/>
  <c r="J77" i="2"/>
  <c r="I75" i="2"/>
  <c r="V75" i="2" s="1"/>
  <c r="I41" i="2"/>
  <c r="I39" i="2" s="1"/>
  <c r="L89" i="2"/>
  <c r="L87" i="2" s="1"/>
  <c r="K87" i="2"/>
  <c r="C87" i="2" s="1"/>
  <c r="W78" i="2"/>
  <c r="I38" i="2"/>
  <c r="K68" i="2"/>
  <c r="J66" i="2"/>
  <c r="J47" i="2"/>
  <c r="J45" i="2" s="1"/>
  <c r="F196" i="2"/>
  <c r="C59" i="2"/>
  <c r="C62" i="2"/>
  <c r="C54" i="1"/>
  <c r="C42" i="1"/>
  <c r="L80" i="2"/>
  <c r="K78" i="2"/>
  <c r="X78" i="2" s="1"/>
  <c r="W57" i="2"/>
  <c r="W37" i="2" s="1"/>
  <c r="H39" i="2"/>
  <c r="C89" i="2"/>
  <c r="C120" i="2"/>
  <c r="K134" i="2"/>
  <c r="J132" i="2"/>
  <c r="W132" i="2" s="1"/>
  <c r="J131" i="2"/>
  <c r="J129" i="2" s="1"/>
  <c r="W140" i="2"/>
  <c r="K95" i="2"/>
  <c r="J93" i="2"/>
  <c r="J44" i="2"/>
  <c r="I45" i="2"/>
  <c r="L78" i="2" l="1"/>
  <c r="C80" i="2"/>
  <c r="K66" i="2"/>
  <c r="K47" i="2"/>
  <c r="L68" i="2"/>
  <c r="C68" i="2"/>
  <c r="J42" i="2"/>
  <c r="L12" i="3"/>
  <c r="I36" i="2"/>
  <c r="I201" i="2"/>
  <c r="I198" i="2"/>
  <c r="K77" i="2"/>
  <c r="J75" i="2"/>
  <c r="W75" i="2" s="1"/>
  <c r="J41" i="2"/>
  <c r="J38" i="2"/>
  <c r="L126" i="2"/>
  <c r="C126" i="2" s="1"/>
  <c r="C128" i="2"/>
  <c r="L57" i="2"/>
  <c r="Y57" i="2" s="1"/>
  <c r="Y37" i="2" s="1"/>
  <c r="C113" i="2"/>
  <c r="K38" i="2"/>
  <c r="X140" i="2"/>
  <c r="L95" i="2"/>
  <c r="K93" i="2"/>
  <c r="K44" i="2"/>
  <c r="K42" i="2" s="1"/>
  <c r="K131" i="2"/>
  <c r="K129" i="2" s="1"/>
  <c r="L134" i="2"/>
  <c r="K132" i="2"/>
  <c r="C134" i="2"/>
  <c r="C131" i="2" s="1"/>
  <c r="K84" i="2"/>
  <c r="L86" i="2"/>
  <c r="K114" i="2"/>
  <c r="L116" i="2"/>
  <c r="M12" i="3" l="1"/>
  <c r="M10" i="3" s="1"/>
  <c r="J201" i="2"/>
  <c r="J199" i="2" s="1"/>
  <c r="J198" i="2"/>
  <c r="J196" i="2" s="1"/>
  <c r="J36" i="2"/>
  <c r="J39" i="2"/>
  <c r="I199" i="2"/>
  <c r="C57" i="2"/>
  <c r="Y78" i="2"/>
  <c r="C78" i="2"/>
  <c r="N12" i="3"/>
  <c r="N10" i="3" s="1"/>
  <c r="K201" i="2"/>
  <c r="K199" i="2" s="1"/>
  <c r="K198" i="2"/>
  <c r="K196" i="2" s="1"/>
  <c r="K36" i="2"/>
  <c r="I196" i="2"/>
  <c r="K45" i="2"/>
  <c r="C47" i="2"/>
  <c r="L114" i="2"/>
  <c r="C114" i="2" s="1"/>
  <c r="C116" i="2"/>
  <c r="X132" i="2"/>
  <c r="C132" i="2"/>
  <c r="L131" i="2"/>
  <c r="L129" i="2" s="1"/>
  <c r="C129" i="2" s="1"/>
  <c r="L132" i="2"/>
  <c r="Y132" i="2" s="1"/>
  <c r="Y140" i="2"/>
  <c r="L93" i="2"/>
  <c r="C93" i="2" s="1"/>
  <c r="L44" i="2"/>
  <c r="C95" i="2"/>
  <c r="L84" i="2"/>
  <c r="C84" i="2" s="1"/>
  <c r="C86" i="2"/>
  <c r="K75" i="2"/>
  <c r="X75" i="2" s="1"/>
  <c r="L77" i="2"/>
  <c r="K41" i="2"/>
  <c r="K39" i="2" s="1"/>
  <c r="L10" i="3"/>
  <c r="L47" i="2"/>
  <c r="L45" i="2" s="1"/>
  <c r="L66" i="2"/>
  <c r="C66" i="2" s="1"/>
  <c r="C45" i="2" l="1"/>
  <c r="L75" i="2"/>
  <c r="L38" i="2"/>
  <c r="L41" i="2"/>
  <c r="C77" i="2"/>
  <c r="C38" i="2" s="1"/>
  <c r="L42" i="2"/>
  <c r="C42" i="2" s="1"/>
  <c r="C44" i="2"/>
  <c r="Y75" i="2" l="1"/>
  <c r="C75" i="2"/>
  <c r="L39" i="2"/>
  <c r="C41" i="2"/>
  <c r="O12" i="3"/>
  <c r="L36" i="2"/>
  <c r="C36" i="2" s="1"/>
  <c r="L201" i="2"/>
  <c r="L198" i="2"/>
  <c r="L196" i="2" l="1"/>
  <c r="C198" i="2"/>
  <c r="C196" i="2" s="1"/>
  <c r="L199" i="2"/>
  <c r="C199" i="2" s="1"/>
  <c r="C201" i="2"/>
  <c r="K45" i="1"/>
  <c r="C39" i="2"/>
  <c r="O10" i="3"/>
  <c r="F10" i="3" s="1"/>
  <c r="F12" i="3"/>
  <c r="K44" i="1" l="1"/>
  <c r="L45" i="1"/>
  <c r="L44" i="1" s="1"/>
  <c r="K54" i="1" l="1"/>
  <c r="L54" i="1" s="1"/>
  <c r="K42" i="1"/>
  <c r="L42" i="1" s="1"/>
</calcChain>
</file>

<file path=xl/sharedStrings.xml><?xml version="1.0" encoding="utf-8"?>
<sst xmlns="http://schemas.openxmlformats.org/spreadsheetml/2006/main" count="860" uniqueCount="233">
  <si>
    <t xml:space="preserve">Программные мероприятия, объем финансирования муниципальной программы "Развитие малого и среднего предпринимательства в городе Сургуте на период до 2030 года"
</t>
  </si>
  <si>
    <t>Таблица 3</t>
  </si>
  <si>
    <t>Наименование</t>
  </si>
  <si>
    <t>Источники финансирования</t>
  </si>
  <si>
    <t>Объем 
финансирования (всего, руб.)</t>
  </si>
  <si>
    <t>Ответственный (администратор или соадминистратор)</t>
  </si>
  <si>
    <t>Наименование
 показателя, 
ед. измер.</t>
  </si>
  <si>
    <t>Итоговое значение показателя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</si>
  <si>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</si>
  <si>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</si>
  <si>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</si>
  <si>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</si>
  <si>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</si>
  <si>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</si>
  <si>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</si>
  <si>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</si>
  <si>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</si>
  <si>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2020 год</t>
  </si>
  <si>
    <t>2021 год</t>
  </si>
  <si>
    <t xml:space="preserve">Цель муниципальной программы: Создание условий для развития предпринимательства на территории города, в том числе в целях удовлетворения потребностей предприятий и жителей города в товарах и услугах, а также формирования туристской привлекательности у жителей и гостей города Сургута
</t>
  </si>
  <si>
    <t>Задача 1. Совершенствование нормативной правовой базы, регулирующей предпринимательскую деятельность</t>
  </si>
  <si>
    <t>Основное мероприятие 1.1. Подготовка проектов нормативных правовых актов в сфере малого и среднего предпринимательства, предложений по внесению изменений и дополнений в действующие нормативные правовые акты 
(1, 2)</t>
  </si>
  <si>
    <t>-</t>
  </si>
  <si>
    <t>УИРПиТ</t>
  </si>
  <si>
    <t>количество подготовленных проектов или предложений по внесению изменений в муниципальные правовые акты, регулирующие сферу малого и среднего предпринимательства, ед.</t>
  </si>
  <si>
    <t>Задача 2. Мониторинг и информационное сопровождение деятельности субъектов малого и среднего предпринимательства</t>
  </si>
  <si>
    <t xml:space="preserve">Основное мероприятие 2.1. Размещение информации, посвященной предпри-нимательству на официальном портале Администрации города и на инвестиционном портале города
(1, 2) </t>
  </si>
  <si>
    <t xml:space="preserve">количество специализированных подразделов, посвященных предпринимательству на официальном портале Администрации города и на инвестиционном портале, ед.  </t>
  </si>
  <si>
    <t>Задача 3. Оказание поддержки предпринимателям</t>
  </si>
  <si>
    <t>Основное мероприятие 3.1. 
«Популяризация предпринимательства»
(1, 2)</t>
  </si>
  <si>
    <t>всего, в том числе:</t>
  </si>
  <si>
    <t>УИРПиТ, ОПРиЗПП</t>
  </si>
  <si>
    <t>количество проведенных образовательных мероприятий для предпринимателей, чел.</t>
  </si>
  <si>
    <t>за счет межбюджетных трансфертов из окружного бюджета</t>
  </si>
  <si>
    <t>количество проведенных деловых мероприятий для предпринимателей, чел.</t>
  </si>
  <si>
    <t xml:space="preserve">за счет средств местного бюджета </t>
  </si>
  <si>
    <t>количество участников мероприятий, чел.</t>
  </si>
  <si>
    <t>Мероприятие 3.1.1. 
Организация  мониторинга деятельности субъектов малого и среднего предпринимательства</t>
  </si>
  <si>
    <t>объем налоговых поступлений в бюджет муниципального образования от деятельности субъект-
ов малого и среднего предпринимательства, млн. руб.</t>
  </si>
  <si>
    <t xml:space="preserve">20-22 годы - пункт 3 (налоги на совокупный доход)  приложения 1 к РДГ от ------- № ----VI ДГ 
«О бюджете городского округа город Сургут на 2020 год и плановый период 2021-2022 годов»
с 23-30 годы - с учетом k = 1,01 </t>
  </si>
  <si>
    <t>Мероприятие 3.1.2. 
Организация мероприятий по популяризации и пропаганде предпринимательской деятельности</t>
  </si>
  <si>
    <t>количество проведенных радио и телепередач, деловых встреч, круглых столов, конкурсов, конференций, выпущенных статей и т.д., ед.</t>
  </si>
  <si>
    <t>Мероприятие 3.1.3. 
Проведение  образовательных мероприятий для субъектов малого и среднего предпринимательства и физических лиц, не имеющих статуса индивидуального предпринимателя и применяющих специальный налоговой режим "Налог на профессиональный доход"</t>
  </si>
  <si>
    <t>количество проведенных образовательных мероприятий  для субъектов малого и среднего предпринимательства,  ед.</t>
  </si>
  <si>
    <t>новое мероприятие</t>
  </si>
  <si>
    <t>25 чел</t>
  </si>
  <si>
    <t>Мероприятие 3.1.4. 
Реализация мероприятий,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</t>
  </si>
  <si>
    <t>Мероприятие 3.1.5. 
Оказание информационно - консультационной поддержки</t>
  </si>
  <si>
    <t>информационно - консультационная поддержка, рассылка информационных материалов субъектов малого и среднего предпринимательства, да.</t>
  </si>
  <si>
    <t>да</t>
  </si>
  <si>
    <t>Мероприятие 3.1.6. 
Развитие молодежного предпринимательства</t>
  </si>
  <si>
    <t>Мероприятие 3.1.7. 
Подготовка и оформление выставочной экспозиции от города Сургута в выставке-форуме "Товары земли Югорской"</t>
  </si>
  <si>
    <t>ОПРиЗПП</t>
  </si>
  <si>
    <t>Основное мероприятие 3.2. 
Региональный проект "Акселерация субъектов малого и среднего предпринимательства"
(1, 2)</t>
  </si>
  <si>
    <t>количество субъектов малого и среднего предпринимательства, получивших финансовую поддержку на создание коворкинг-центров, ед.</t>
  </si>
  <si>
    <t xml:space="preserve">количество субъектов малого и среднего предпринимательства, осуществляющих социально значимые виды деятельности, получивших финансовую поддержку, ед.
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</si>
  <si>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поддержку, ед.</t>
  </si>
  <si>
    <t xml:space="preserve">Мероприятие 3.2.1.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-на аренду нежилых помещений, 
-по приобретению оборудования (основных средств) и лицензионных программных продуктов, 
-на оплату коммунальных услуг нежилых помещений
</t>
  </si>
  <si>
    <t xml:space="preserve">Мероприятие 3.2.2. 
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-по обязательной и добровольной сертификации (декларированию) продукции (в том числе продовольственного сырья) местных товаропроизводителей, 
-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палатки),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ремесел, 
-по предоставленным консалтинговым услугам,  
-связанных с прохождением курсов повышения квалификации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франшизы, 
-связанных с продвижением товаров собственного производства, выполняемых работ, оказываемых услуг, 
- экспортных затрат,
-связанных с участием в выставочно – ярмарочных мероприятиях
</t>
  </si>
  <si>
    <t xml:space="preserve">Мероприятие 3.2.3. 
Финансовая поддержка субъектов малого и среднего предпринимательства, осуществляющих деятельность в сфере социального предпринимательства,  в виде возмещения части затрат:
-на аренду нежилых помещений, 
-на оплату коммунальных услуг нежилых помещений, 
-по приобретению оборудования (основных средств) и лицензионных программных продуктов, 
-связанных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центров,
-на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обследований, 
-связанных со специальной оценкой условий труда, 
-по предоставленным консалтинговым услугам, 
-связанных с прохождением курсов повышения квалификации, 
-связанных с участием в выставочно – ярмарочных мероприятиях,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франшизы, 
-связанных с продвижением товаров собственного производства, выполняемых работ, оказываемых услуг
</t>
  </si>
  <si>
    <t xml:space="preserve">Мероприятие 3.2.4.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затрат:
</t>
  </si>
  <si>
    <t>количество субъектов малого и среднего предпринимательства,  получивших финансовую поддержку, ед.</t>
  </si>
  <si>
    <t>Мероприятие 3.2.4.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</t>
  </si>
  <si>
    <t>количество созданных коворкинг-центров, ед.</t>
  </si>
  <si>
    <t>количество созданных рабочих мест для субъектов малого и среднего предпринимательства в коворкинг-центрах, ед.</t>
  </si>
  <si>
    <t>Мероприятие 3.2.2.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</si>
  <si>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приобретению оборудования (основных средств) и лицензионных программных продуктов
</t>
  </si>
  <si>
    <t xml:space="preserve">Мероприятие 3.2.4.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развитие товаропроводящей сети по реализации ремесленных товаров (фирменных </t>
  </si>
  <si>
    <t>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</si>
  <si>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Мероприятие 3.2.5.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</si>
  <si>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>Всего, в том числе:</t>
  </si>
  <si>
    <t>Мероприятие 3.2.6.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</si>
  <si>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количество детей, посещающих центры времяпрепровождения детей, дошкольные образовательные центры, чел.</t>
  </si>
  <si>
    <t>Мероприятие 3.2.7. 
Финансовая поддержка субъектов малого и</t>
  </si>
  <si>
    <t xml:space="preserve"> среднего предпринимательства, осуществляющих социально значимые (приоритетные) виды деятельности, в виде возмещения части затрат по предоставленным консалтинговым услугам</t>
  </si>
  <si>
    <t>Мероприятие 3.2.8. 
Финансовая поддержка субъектов малого и  среднего предпринимательства, осуществляющих социально значимые (приоритетные) виды деятельности, в виде возмещения части затрат, связанных с прохождением курсов повышения квалификации</t>
  </si>
  <si>
    <t>Мероприятие 3.2.9.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аренду нежилых помещений</t>
  </si>
  <si>
    <t>Мероприятие 3.2.10.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</si>
  <si>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</si>
  <si>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>Мероприятие 3.2.12.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связанных со специальной оценкой условий труда</t>
  </si>
  <si>
    <t>Мероприятие 3.2.5.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</si>
  <si>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>количество созданных и осуществляющих деятельность центров молодежного инновационного творчества, получивших поддержку, ед.</t>
  </si>
  <si>
    <t>количество физических лиц в возрасте до 30 лет (включительно), воспользовавшихся услугами  центров молодежного инновационного творчества,  получивших поддержку, ед.</t>
  </si>
  <si>
    <t xml:space="preserve">Мероприятие 3.2.6.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 </t>
  </si>
  <si>
    <t>количество инновационных компаний, получивших поддержку, ед.</t>
  </si>
  <si>
    <t>Мероприятие 3.2.15.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затрат, связанных с участием в выставочно – ярмарочных мероприятиях</t>
  </si>
  <si>
    <t>Мероприятие 3.2.16.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приобретение контрольно-кассовой техники</t>
  </si>
  <si>
    <t>Мероприятие 3.2.17.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оплату коммунальных услуг нежилых помещений</t>
  </si>
  <si>
    <t>Мероприятие 3.2.18.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</t>
  </si>
  <si>
    <t>Мероприятие 3.2.19.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затрат, связанных с продвижением товаров собственного производства, выполняемых работ, оказываемых услуг</t>
  </si>
  <si>
    <t>Мероприятие 3.2.20.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экспортных затрат</t>
  </si>
  <si>
    <t xml:space="preserve">Мероприятие 3.2.21. 
Финансовая поддержка субъектов малого и среднего предпринимательства, осуществляющих деятельность в сфере социального </t>
  </si>
  <si>
    <t>предпринимательства, в виде возмещения части затрат по предоставленным консалтинговым услугам</t>
  </si>
  <si>
    <t>Мероприятие 3.2.22. 
Финансовая поддержка субъектов малого и  среднего предпринимательства, осуществляющих деятельность в сфере социального предпринимательства, в виде возмещения части затрат, связанных с прохождением курсов повышения квалификации</t>
  </si>
  <si>
    <t>Мероприятие 3.2.23. 
Финансовая поддержка субъектов малого и среднего предпринимательства,  осуществляющих деятельность в сфере социального предпринимательства, в виде возмещения части затрат на аренду нежилых помещений</t>
  </si>
  <si>
    <t>Мероприятие 3.2.24.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затрат, связанных с участием в выставочно – ярмарочных мероприятиях</t>
  </si>
  <si>
    <t>Мероприятие 3.2.25.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 на приобретение контрольно-кассовой техники</t>
  </si>
  <si>
    <t xml:space="preserve">Мероприятие 3.2.26.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 на оплату коммунальных услуг нежилых помещений </t>
  </si>
  <si>
    <t>Основное мероприятие 3.3. 
Региональный проект "Создание условий для легкого старта и комфортного ведения бизнеса"
(1, 2)</t>
  </si>
  <si>
    <t xml:space="preserve">Мероприятие 3.3.1.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затрат, связанных с началом предпринимательской деятельности </t>
  </si>
  <si>
    <t xml:space="preserve">Мероприятие 3.3.2. 
Финансовая поддержка субъектов малого и среднего предпринимательства в виде финансового обеспечения затрат начинающим предпринимателям в производственной сфере
</t>
  </si>
  <si>
    <t>количество субъектов, получивших финансовую поддержку, ед.</t>
  </si>
  <si>
    <t xml:space="preserve">Основное мероприятие 3.4.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 в виде возмещения части затрат:
-на рекламу, 
-по предоставленным консалтинговым услугам, 
-на аренду нежилых помещений,  
-по уплате страховых взносов, 
-на приобретение оборудования и инструментов, 
-на обучение, повышение квалификации, профессиональную переподготовку.  
(1, 2)
</t>
  </si>
  <si>
    <t xml:space="preserve">Мероприятие 3.4.1.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рекламу
</t>
  </si>
  <si>
    <t>Мероприятие 3.4.2.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по предоставленным консалтинговым услугам</t>
  </si>
  <si>
    <t>Мероприятие 3.4.3.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по уплате страховых взносов</t>
  </si>
  <si>
    <t>Мероприятие 3.4.4.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аренду нежилых помещений</t>
  </si>
  <si>
    <t>Мероприятие 3.4.5.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приобретение оборудования и нструментов</t>
  </si>
  <si>
    <t>Мероприятие 3.4.6.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обучение, повышение квалификации, профессиональную переподготовку</t>
  </si>
  <si>
    <t xml:space="preserve">Основное мероприятие 3.5. 
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 в виде возмещения части затрат:
-на аренду (субаренду) нежилых помещений,  
-на коммунальные услуги  
(1, 2)
</t>
  </si>
  <si>
    <t>Мероприятие 3.5.1. 
Предоставление в 2021 году неотложных мер
поддержки субъектам малого и
среднего предпринимательства, осуществляющим деятельность в
отраслях, пострадавших от
распространения новой
коронавирусной инфекции в виде
возмещения затрат на аренду
(субаренду) нежилых помещений</t>
  </si>
  <si>
    <t xml:space="preserve">Мероприятие 3.5.2. 
Предоставление в 2021 году неотложных мер
поддержки субъектам малого и среднего </t>
  </si>
  <si>
    <t>предпринимательства,
осуществляющим деятельность в
отраслях, пострадавших от
распространения новой
коронавирусной инфекции
в виде возмещения затрат на коммунальные услуги</t>
  </si>
  <si>
    <t>Мероприятие 3.5.3. 
Предоставление в 2021 году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 коронавирусной инфекции в виде возмещения затрат 
 на жилищно-коммунальные услуги</t>
  </si>
  <si>
    <t>Основное мероприятие 3.6. Имущественная поддержка
(1, 2)</t>
  </si>
  <si>
    <t>ДИЗО</t>
  </si>
  <si>
    <t>Мероприятие 3.6.1. Оказание имущественной поддержки в виде передачи во временное владение и (или) пользование муниципального имущества на возмездной основе, а также нальготных условиях  путем применения имущественных льгот</t>
  </si>
  <si>
    <t>количество субъектов, получивших поддержку, ед.</t>
  </si>
  <si>
    <t xml:space="preserve">Мероприятие 3.6.2. 
Оказание имущественной поддержки  в виде передачи во временное владение и (или) пользование муниципального имущества на безвозмездной основе
</t>
  </si>
  <si>
    <t>Основное мероприятие 3.7. 
Внесение сведений в Единый реестр субъектов малого и среднего предпринимательства – получателей  поддержки
(1, 2)</t>
  </si>
  <si>
    <t>УИРПиТ, ДИЗО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</si>
  <si>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финансовой и образовательной поддержки, ед.</t>
  </si>
  <si>
    <t>Основное мероприятие 3.8.
Создание Дома предпринимателя
(1, 2)</t>
  </si>
  <si>
    <t>количество созданных Домов предприни-мателя, ед.</t>
  </si>
  <si>
    <t>Задача 4. Развитие потребительского рынка</t>
  </si>
  <si>
    <t>Основное мероприятие 4.1.  Развитие бренда 
«Сделано в Сургуте»
(1, 2)</t>
  </si>
  <si>
    <t>доля предоставленных сертификатов на право использования логотипа «Сделано в Сургуте», от общего количества заявлений, соответствующих установленным требованиям, %</t>
  </si>
  <si>
    <t>Мероприятие 4.1.1. Оказание услуг по изготовлению брендированной продукции в рамках проекта "Сделано в Сургуте"</t>
  </si>
  <si>
    <t>Мероприятие 4.1.2.   Оказание услуг по организации 5 (пяти) ярмарок на территории города Сургута в рамках проекта «Сделано в Сургуте»</t>
  </si>
  <si>
    <t>Задача 5. Создание условий для развития туризма</t>
  </si>
  <si>
    <t>Основное мероприятие 5.1. 
"Создание условий для развития туризма" (1, 2)</t>
  </si>
  <si>
    <t>Мероприятие 5.1.1. Организация участия в туристском форуме «ЮграТур»</t>
  </si>
  <si>
    <t xml:space="preserve">Общий объем финансирования программы </t>
  </si>
  <si>
    <t>х</t>
  </si>
  <si>
    <t>Объем финансирования администратора  – управления инвестиций, развития предпринимательства и туризма</t>
  </si>
  <si>
    <t>Объем финансирования содминистратора  – отдела потребительского рынка и защиты прав потребителей</t>
  </si>
  <si>
    <t>Целевые показатели муниципальной программы "Развитие малого и среднего предпринимательства в городе Сургуте на период до 2030 года"</t>
  </si>
  <si>
    <t>Таблица 1</t>
  </si>
  <si>
    <t>Номер целевого показателя</t>
  </si>
  <si>
    <t>Наименование целевого показателя</t>
  </si>
  <si>
    <t>Базовый показатель (2021 год)</t>
  </si>
  <si>
    <t>Значение целевого показателя, в том числе</t>
  </si>
  <si>
    <t>Влияние на исполнение целевого показателя предоставляемой налоговой льготы, установленной в качестве мер муниципальной поддержки (налоговых расходов)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</si>
  <si>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</si>
  <si>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управление инвестиций, развития предпринимательства и туризма
(далее - УИРПиТ)</t>
  </si>
  <si>
    <t>оборот (товаров, работ, услуг) субъектов малого и среднего предпринимательства, млн. руб.</t>
  </si>
  <si>
    <t>налоговая льгота "Предоставление налоговой преференции в виде установления сниженной налоговой ставки по налогу на имущество физических лиц в размере 1,5 % в отношении объектов недвижимости, включенных в Перечень, определяемый в соответствии с пунктом 7 статьи 378.2 Налогового кодекса Российской Федерации" влияет</t>
  </si>
  <si>
    <t>Иные показатели муниципальной программы "Развитие малого и среднего предпринимательства в городе Сургуте на период до 2030 года"</t>
  </si>
  <si>
    <t>Таблица 2</t>
  </si>
  <si>
    <t>Номер показателя</t>
  </si>
  <si>
    <t>Наименование показателя</t>
  </si>
  <si>
    <t>Значение показателя, в том числе</t>
  </si>
  <si>
    <t>I</t>
  </si>
  <si>
    <t>Сводные показатели муниципальных заданий</t>
  </si>
  <si>
    <t>II</t>
  </si>
  <si>
    <t>численность занятых в сфере малого и среднего предпринимательства, включая индивидуальных предпринимателей, 
тыс. человек</t>
  </si>
  <si>
    <t>III</t>
  </si>
  <si>
    <t>Показатели, предусмотренные документами стратегического планирования</t>
  </si>
  <si>
    <t>число субъектов малого и среднего предпринимательства на 10 тыс. человек населения, ед. (нарастающим итогом, на конец отчетного периода)</t>
  </si>
  <si>
    <t>среднесписочная численность работников малых и средних предприятий на конец года, тыс. чел.</t>
  </si>
  <si>
    <t>количество созданных Домов предпринимателя, ед.</t>
  </si>
  <si>
    <t>количество субсидий, предоставленных субъектам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доход", ед.</t>
  </si>
  <si>
    <t xml:space="preserve">доля реализованных мероприятий портфеля проектов («Малое и среднее предпринимательство и поддержка индивидуальной предпринимательской инициативы» (муниципальная составляющая)) от общего числа запланированных к реализации, % </t>
  </si>
  <si>
    <t>ведение мониторинга налогового законодательства, да</t>
  </si>
  <si>
    <t>отдел потребительского рынка и защиты прав потребителей (далее - ОПРиЗПП)</t>
  </si>
  <si>
    <t>количество организованных мероприятий (городской конкурс «Предприниматель года»), ед.</t>
  </si>
  <si>
    <t>IV</t>
  </si>
  <si>
    <t>V</t>
  </si>
  <si>
    <t>Показатели, на достижение которых оказывает влияние предоставляемая льгота, установленная в качестве мер муниципальной поддержки (налоговый расход)</t>
  </si>
  <si>
    <t>Количество налоговых преференций, установленных решениями Думы города о местных налогах для субъектов малого и среднего предпринимательства, ед. (ежегодно)</t>
  </si>
  <si>
    <t>VI</t>
  </si>
  <si>
    <t>Прочие показатели</t>
  </si>
  <si>
    <t>количество малых и средних предприятий (юридических лиц) на конец года,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</si>
  <si>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</si>
  <si>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получателей поддержки, ед. </t>
  </si>
  <si>
    <t>в том числе:</t>
  </si>
  <si>
    <t>финансовой поддержки, ед.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</si>
  <si>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-на аренду нежилых помещений, 
-по приобретению оборудования (основных средств) и лицензионных программных продуктов, 
-на оплату коммунальных услуг нежилых помещений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</si>
  <si>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-по обязательной и добровольной сертификации (декларированию) продукции (в том числе продовольственного сырья) местных товаропроизводителей, 
-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палатки),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ремесел, 
-по предоставленным консалтинговым услугам,  
-связанных с прохождением курсов повышения квалификации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франшизы, 
-связанных с продвижением товаров собственного производства, выполняемых работ, оказываемых услуг, 
- экспортных затрат,
-связанных с участием в выставочно – ярмарочных мероприятиях</t>
  </si>
  <si>
    <t>ЦМИТ</t>
  </si>
  <si>
    <t xml:space="preserve">инновационным компаниям, </t>
  </si>
  <si>
    <t>связанных с началом предпринимательской деятельности</t>
  </si>
  <si>
    <t>начинающим предпринимателям в производственной сфере</t>
  </si>
  <si>
    <t xml:space="preserve">НПД </t>
  </si>
  <si>
    <t>неотложные меры</t>
  </si>
  <si>
    <t xml:space="preserve">СП </t>
  </si>
  <si>
    <t>информационно-консультационной поддержки, ед.</t>
  </si>
  <si>
    <t>образовательной поддержки, ед.</t>
  </si>
  <si>
    <t>имущественной поддержки, ед.</t>
  </si>
  <si>
    <t>департамент имущественных и земельных отношений (далее - ДИЗО)</t>
  </si>
  <si>
    <t>на возмездной основе путем                  применения имущественных льгот</t>
  </si>
  <si>
    <t xml:space="preserve">комитет по управлению имуществом </t>
  </si>
  <si>
    <t xml:space="preserve">на безвозмездной основе
</t>
  </si>
  <si>
    <t>Количество организованных мероприятий, направленных на вовлечение в предпринимательскую деятельность, пропаганду и популяризацию предпринимательства, ед.</t>
  </si>
  <si>
    <t>Предприниматель года</t>
  </si>
  <si>
    <t>Курс «Основы ведения предпринимательской деятельности»</t>
  </si>
  <si>
    <t>Курс для предпринимателей, планирующих привлечение инвестиций и масштабирование бизнеса</t>
  </si>
  <si>
    <t>Мероприятия молодежного предпринимательства</t>
  </si>
  <si>
    <t>количество участников мероприятий,  направленных на вовлечение в предпринимательскую деятельность, пропаганду и популяризацию предпринимательства, чел.</t>
  </si>
  <si>
    <t>Подготовка и оформление выставочной экспозиции от города Сургута в выставке-форуме "Товары земли Югорской"</t>
  </si>
  <si>
    <t>нет</t>
  </si>
  <si>
    <t>Количество проведенных на территории города Сургута ярмарок в рамках проекта «Сделано в Сургуте»</t>
  </si>
  <si>
    <t>Участие в в туристском форуме «ЮграТур»</t>
  </si>
  <si>
    <t>Изготовление рекламно-информационной продукции о туристской привлекательности города Сургута</t>
  </si>
  <si>
    <t xml:space="preserve">Мероприятия, реализуемые в рамках портфелей проектов, проектов автономного округа, направленных </t>
  </si>
  <si>
    <t>на реализацию национальных проектов (программ) Российской Федерации</t>
  </si>
  <si>
    <t>Таблица 4</t>
  </si>
  <si>
    <t>Наименование проекта</t>
  </si>
  <si>
    <t>Ответственный исполнитель</t>
  </si>
  <si>
    <t>Номер основного мероприятия (мероприятия) (из таблицы 3)</t>
  </si>
  <si>
    <t>Параметры финансового обеспечения (руб.)</t>
  </si>
  <si>
    <t>Всего</t>
  </si>
  <si>
    <t>Региональный проект "Акселерация субъектов малого и среднего предпринимательства"</t>
  </si>
  <si>
    <t>Основное мероприятие 3.2.</t>
  </si>
  <si>
    <t>всего, в том числе</t>
  </si>
  <si>
    <t>за счет средств местного бюджета</t>
  </si>
  <si>
    <t>Региональный проект "Создание условий для легкого старта и комфортного ведения бизнеса"</t>
  </si>
  <si>
    <t>Основное мероприятие 3.3.</t>
  </si>
  <si>
    <t>Мероприятие 5.1.2. 
Продвижение туристических продуктов на территории муниципального образования для жителей и гостей города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</si>
  <si>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 Ханты-Мансийского автономного округа – Югры</t>
  </si>
  <si>
    <t xml:space="preserve">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перечень муниципального имущества, предназначенного для поддержки субъектов малого и среднего предпринимательства и самозанятых граждан, в общем количестве объектов недвижимого имущества, включенных в указанные перечни, % </t>
  </si>
  <si>
    <t xml:space="preserve">Показатели портфелей проектов, проектов автономного округа, направленные на реализацию национальных проектов (программ) Российской Федерации </t>
  </si>
  <si>
    <t>16.2.</t>
  </si>
  <si>
    <t>16.3.</t>
  </si>
  <si>
    <t>16.4.</t>
  </si>
  <si>
    <t>16.1.</t>
  </si>
  <si>
    <t>Объем финансирования соадминистратора –  департамента имущественных и земельных отношений</t>
  </si>
  <si>
    <t>Номер показателя (из таблицы 1)</t>
  </si>
  <si>
    <t xml:space="preserve">1, 2 </t>
  </si>
  <si>
    <t>Увеличение количества объектов имущества в перечне муниципального имущества, предназначенного для поддержки субъектов малого и среднего предпринимательства и самозанятых граждан,  %</t>
  </si>
  <si>
    <t xml:space="preserve">Приложение 1
к постановлению 
Администрации города 
от ____________ № ____________
</t>
  </si>
  <si>
    <t>Приложение 2
к постановлению 
Администрации города 
от ____________ № _________</t>
  </si>
  <si>
    <t>Приложение 3
к постановлению                Администрации города 
от 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</si>
</sst>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26282F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color rgb="FF26282F"/>
      <name val="Times New Roman"/>
      <family val="1"/>
      <charset val="204"/>
    </font>
    <font>
      <sz val="2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5"/>
      <name val="Times New Roman"/>
      <family val="1"/>
      <charset val="204"/>
    </font>
    <font>
      <sz val="25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22272F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2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right" vertical="top" wrapText="1"/>
    </xf>
    <xf numFmtId="0" fontId="2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right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 wrapText="1"/>
    </xf>
    <xf numFmtId="4" fontId="2" fillId="0" borderId="1" xfId="1" applyNumberFormat="1" applyFont="1" applyFill="1" applyBorder="1" applyAlignment="1">
      <alignment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left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4" fontId="2" fillId="0" borderId="2" xfId="1" applyNumberFormat="1" applyFont="1" applyFill="1" applyBorder="1" applyAlignment="1">
      <alignment vertical="top" wrapText="1"/>
    </xf>
    <xf numFmtId="4" fontId="2" fillId="0" borderId="1" xfId="1" applyNumberFormat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left" vertical="top" wrapText="1"/>
    </xf>
    <xf numFmtId="4" fontId="2" fillId="0" borderId="6" xfId="1" applyNumberFormat="1" applyFont="1" applyFill="1" applyBorder="1" applyAlignment="1">
      <alignment horizontal="left" vertical="top" wrapText="1"/>
    </xf>
    <xf numFmtId="4" fontId="2" fillId="0" borderId="0" xfId="1" applyNumberFormat="1" applyFont="1" applyFill="1" applyAlignment="1">
      <alignment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0" borderId="8" xfId="1" applyNumberFormat="1" applyFont="1" applyFill="1" applyBorder="1" applyAlignment="1">
      <alignment horizontal="left" vertical="top" wrapText="1"/>
    </xf>
    <xf numFmtId="3" fontId="2" fillId="0" borderId="7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8" xfId="1" applyNumberFormat="1" applyFont="1" applyFill="1" applyBorder="1" applyAlignment="1">
      <alignment vertical="top" wrapText="1"/>
    </xf>
    <xf numFmtId="3" fontId="2" fillId="0" borderId="9" xfId="1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vertical="top" wrapText="1"/>
    </xf>
    <xf numFmtId="1" fontId="2" fillId="0" borderId="0" xfId="1" applyNumberFormat="1" applyFont="1" applyFill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4" fontId="2" fillId="0" borderId="9" xfId="1" applyNumberFormat="1" applyFont="1" applyFill="1" applyBorder="1" applyAlignment="1">
      <alignment horizontal="center" vertical="top" wrapText="1"/>
    </xf>
    <xf numFmtId="4" fontId="6" fillId="0" borderId="6" xfId="1" applyNumberFormat="1" applyFont="1" applyFill="1" applyBorder="1" applyAlignment="1">
      <alignment horizontal="left" vertical="top" wrapText="1"/>
    </xf>
    <xf numFmtId="3" fontId="6" fillId="0" borderId="7" xfId="1" applyNumberFormat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Alignment="1">
      <alignment vertical="top" wrapText="1"/>
    </xf>
    <xf numFmtId="4" fontId="6" fillId="0" borderId="2" xfId="1" applyNumberFormat="1" applyFont="1" applyFill="1" applyBorder="1" applyAlignment="1">
      <alignment horizontal="left" vertical="top" wrapText="1"/>
    </xf>
    <xf numFmtId="3" fontId="6" fillId="0" borderId="1" xfId="1" applyNumberFormat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vertical="top" wrapText="1"/>
    </xf>
    <xf numFmtId="4" fontId="6" fillId="0" borderId="8" xfId="1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 wrapText="1"/>
    </xf>
    <xf numFmtId="4" fontId="6" fillId="0" borderId="1" xfId="1" applyNumberFormat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vertical="top" wrapText="1"/>
    </xf>
    <xf numFmtId="4" fontId="6" fillId="0" borderId="1" xfId="1" applyNumberFormat="1" applyFont="1" applyFill="1" applyBorder="1" applyAlignment="1">
      <alignment horizontal="left" vertical="top" wrapText="1"/>
    </xf>
    <xf numFmtId="4" fontId="2" fillId="0" borderId="3" xfId="1" applyNumberFormat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center" vertical="top" wrapText="1"/>
    </xf>
    <xf numFmtId="3" fontId="2" fillId="0" borderId="2" xfId="1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0" xfId="1" applyNumberFormat="1" applyFont="1" applyFill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0" fontId="7" fillId="0" borderId="0" xfId="1" applyFont="1"/>
    <xf numFmtId="0" fontId="7" fillId="0" borderId="0" xfId="1" applyFont="1" applyFill="1" applyAlignment="1">
      <alignment horizontal="center" vertical="top"/>
    </xf>
    <xf numFmtId="0" fontId="8" fillId="0" borderId="0" xfId="1" applyFont="1" applyAlignment="1">
      <alignment horizontal="left" vertical="top" wrapText="1"/>
    </xf>
    <xf numFmtId="0" fontId="7" fillId="0" borderId="0" xfId="1" applyFont="1" applyFill="1"/>
    <xf numFmtId="0" fontId="9" fillId="0" borderId="0" xfId="1" applyFont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right"/>
    </xf>
    <xf numFmtId="0" fontId="11" fillId="0" borderId="11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left" vertical="top"/>
    </xf>
    <xf numFmtId="0" fontId="12" fillId="0" borderId="0" xfId="1" applyFont="1" applyFill="1" applyBorder="1" applyAlignment="1">
      <alignment horizontal="left" vertical="top"/>
    </xf>
    <xf numFmtId="0" fontId="7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0" xfId="1" applyFont="1" applyBorder="1"/>
    <xf numFmtId="0" fontId="7" fillId="0" borderId="0" xfId="1" applyFont="1" applyBorder="1" applyAlignment="1">
      <alignment vertical="top"/>
    </xf>
    <xf numFmtId="0" fontId="13" fillId="0" borderId="0" xfId="1" applyFont="1" applyFill="1"/>
    <xf numFmtId="0" fontId="7" fillId="0" borderId="1" xfId="1" applyFont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top"/>
    </xf>
    <xf numFmtId="3" fontId="3" fillId="0" borderId="1" xfId="1" applyNumberFormat="1" applyFont="1" applyFill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top" wrapText="1"/>
    </xf>
    <xf numFmtId="4" fontId="14" fillId="0" borderId="1" xfId="1" applyNumberFormat="1" applyFont="1" applyFill="1" applyBorder="1" applyAlignment="1">
      <alignment horizontal="left" vertical="top" wrapText="1"/>
    </xf>
    <xf numFmtId="3" fontId="15" fillId="0" borderId="1" xfId="1" applyNumberFormat="1" applyFont="1" applyFill="1" applyBorder="1" applyAlignment="1">
      <alignment horizontal="center" vertical="top" wrapText="1"/>
    </xf>
    <xf numFmtId="4" fontId="15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 wrapText="1"/>
    </xf>
    <xf numFmtId="0" fontId="7" fillId="0" borderId="0" xfId="1" applyFont="1" applyFill="1" applyAlignment="1">
      <alignment vertical="top"/>
    </xf>
    <xf numFmtId="0" fontId="14" fillId="0" borderId="1" xfId="1" applyFont="1" applyBorder="1" applyAlignment="1">
      <alignment vertical="top"/>
    </xf>
    <xf numFmtId="0" fontId="15" fillId="0" borderId="1" xfId="1" applyFont="1" applyFill="1" applyBorder="1" applyAlignment="1">
      <alignment vertical="top"/>
    </xf>
    <xf numFmtId="1" fontId="15" fillId="0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vertical="top"/>
    </xf>
    <xf numFmtId="0" fontId="14" fillId="0" borderId="1" xfId="1" applyFont="1" applyFill="1" applyBorder="1"/>
    <xf numFmtId="0" fontId="15" fillId="0" borderId="1" xfId="1" applyFont="1" applyFill="1" applyBorder="1"/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right"/>
    </xf>
    <xf numFmtId="0" fontId="19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left" vertical="top" wrapText="1"/>
    </xf>
    <xf numFmtId="4" fontId="11" fillId="0" borderId="1" xfId="1" applyNumberFormat="1" applyFont="1" applyBorder="1" applyAlignment="1">
      <alignment horizontal="center" vertical="top" wrapText="1"/>
    </xf>
    <xf numFmtId="164" fontId="15" fillId="0" borderId="1" xfId="1" applyNumberFormat="1" applyFont="1" applyFill="1" applyBorder="1" applyAlignment="1">
      <alignment horizontal="center" vertical="top" wrapText="1"/>
    </xf>
    <xf numFmtId="16" fontId="7" fillId="0" borderId="1" xfId="1" applyNumberFormat="1" applyFont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3" fillId="0" borderId="0" xfId="1" applyFont="1" applyAlignment="1">
      <alignment horizontal="right"/>
    </xf>
    <xf numFmtId="0" fontId="25" fillId="0" borderId="0" xfId="1" applyFont="1" applyFill="1" applyBorder="1" applyAlignment="1">
      <alignment horizontal="center" vertical="top" wrapText="1"/>
    </xf>
    <xf numFmtId="0" fontId="29" fillId="0" borderId="0" xfId="1" applyFont="1" applyAlignment="1">
      <alignment horizontal="right"/>
    </xf>
    <xf numFmtId="0" fontId="20" fillId="0" borderId="0" xfId="1" applyFont="1" applyAlignment="1">
      <alignment horizontal="left" vertical="top" wrapText="1"/>
    </xf>
    <xf numFmtId="0" fontId="21" fillId="0" borderId="0" xfId="1" applyFont="1" applyAlignment="1">
      <alignment horizontal="left" vertical="top" wrapText="1"/>
    </xf>
    <xf numFmtId="0" fontId="2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11" fillId="0" borderId="1" xfId="1" applyFont="1" applyFill="1" applyBorder="1" applyAlignment="1">
      <alignment horizontal="left" vertical="top"/>
    </xf>
    <xf numFmtId="0" fontId="1" fillId="0" borderId="1" xfId="1" applyBorder="1" applyAlignment="1">
      <alignment horizontal="left" vertical="top"/>
    </xf>
    <xf numFmtId="0" fontId="11" fillId="0" borderId="1" xfId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1" xfId="1" applyFont="1" applyBorder="1" applyAlignment="1">
      <alignment horizontal="center" vertical="top" wrapText="1"/>
    </xf>
    <xf numFmtId="0" fontId="1" fillId="0" borderId="3" xfId="1" applyBorder="1" applyAlignment="1">
      <alignment horizontal="center" vertical="top" wrapText="1"/>
    </xf>
    <xf numFmtId="0" fontId="1" fillId="0" borderId="2" xfId="1" applyBorder="1" applyAlignment="1">
      <alignment horizontal="center" vertical="top" wrapText="1"/>
    </xf>
    <xf numFmtId="0" fontId="11" fillId="0" borderId="5" xfId="1" applyFont="1" applyFill="1" applyBorder="1" applyAlignment="1">
      <alignment horizontal="center" vertical="top" wrapText="1"/>
    </xf>
    <xf numFmtId="0" fontId="1" fillId="0" borderId="9" xfId="1" applyBorder="1" applyAlignment="1">
      <alignment horizontal="center" vertical="top" wrapText="1"/>
    </xf>
    <xf numFmtId="0" fontId="11" fillId="0" borderId="11" xfId="1" applyFont="1" applyFill="1" applyBorder="1" applyAlignment="1">
      <alignment horizontal="left" vertical="top"/>
    </xf>
    <xf numFmtId="0" fontId="1" fillId="0" borderId="3" xfId="1" applyBorder="1" applyAlignment="1">
      <alignment horizontal="left" vertical="top"/>
    </xf>
    <xf numFmtId="0" fontId="1" fillId="0" borderId="2" xfId="1" applyBorder="1" applyAlignment="1">
      <alignment horizontal="left" vertical="top"/>
    </xf>
    <xf numFmtId="0" fontId="2" fillId="0" borderId="1" xfId="1" applyFont="1" applyFill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25" fillId="0" borderId="0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left" vertical="top" wrapText="1"/>
    </xf>
    <xf numFmtId="0" fontId="26" fillId="0" borderId="0" xfId="0" applyFont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left" vertical="top" wrapText="1"/>
    </xf>
    <xf numFmtId="3" fontId="2" fillId="0" borderId="5" xfId="1" applyNumberFormat="1" applyFont="1" applyFill="1" applyBorder="1" applyAlignment="1">
      <alignment horizontal="center" vertical="top" wrapText="1"/>
    </xf>
    <xf numFmtId="3" fontId="2" fillId="0" borderId="7" xfId="1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3" fontId="2" fillId="0" borderId="9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 wrapText="1"/>
    </xf>
    <xf numFmtId="1" fontId="2" fillId="0" borderId="5" xfId="1" applyNumberFormat="1" applyFont="1" applyFill="1" applyBorder="1" applyAlignment="1">
      <alignment horizontal="center" vertical="top" wrapText="1"/>
    </xf>
    <xf numFmtId="1" fontId="2" fillId="0" borderId="7" xfId="1" applyNumberFormat="1" applyFont="1" applyFill="1" applyBorder="1" applyAlignment="1">
      <alignment horizontal="center" vertical="top" wrapText="1"/>
    </xf>
    <xf numFmtId="1" fontId="2" fillId="0" borderId="9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0" borderId="9" xfId="1" applyNumberFormat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center" vertical="top" wrapText="1"/>
    </xf>
    <xf numFmtId="0" fontId="24" fillId="0" borderId="0" xfId="1" applyFont="1" applyAlignment="1">
      <alignment horizontal="left" vertical="top" wrapText="1"/>
    </xf>
    <xf numFmtId="0" fontId="27" fillId="0" borderId="0" xfId="0" applyFont="1" applyAlignment="1"/>
    <xf numFmtId="0" fontId="28" fillId="0" borderId="0" xfId="1" applyFont="1" applyAlignment="1">
      <alignment horizontal="center" vertical="center"/>
    </xf>
    <xf numFmtId="0" fontId="19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dareva_ey\Desktop\&#1056;&#1040;&#1041;&#1054;&#1063;&#1048;&#1045;\&#1053;&#1054;&#1056;&#1052;&#1040;&#1058;&#1048;&#1042;&#1050;&#1040;\2022\&#1052;&#1055;\&#1080;&#1102;&#1083;&#1100;\&#1055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Мероприятия"/>
      <sheetName val="Лист1"/>
    </sheetNames>
    <sheetDataSet>
      <sheetData sheetId="0">
        <row r="36">
          <cell r="D36">
            <v>17139921.800000001</v>
          </cell>
        </row>
        <row r="129">
          <cell r="E129">
            <v>275555.13</v>
          </cell>
          <cell r="F129">
            <v>275555.13</v>
          </cell>
          <cell r="G129">
            <v>5200000</v>
          </cell>
          <cell r="H129">
            <v>5374000</v>
          </cell>
          <cell r="I129">
            <v>5555212</v>
          </cell>
          <cell r="J129">
            <v>5743935.0640000002</v>
          </cell>
          <cell r="K129">
            <v>5940480.6630880004</v>
          </cell>
          <cell r="L129">
            <v>6145173.1903936965</v>
          </cell>
        </row>
        <row r="130">
          <cell r="D130">
            <v>1257600</v>
          </cell>
          <cell r="E130">
            <v>0</v>
          </cell>
          <cell r="F130">
            <v>0</v>
          </cell>
          <cell r="G130">
            <v>1000000</v>
          </cell>
          <cell r="H130">
            <v>1000000</v>
          </cell>
          <cell r="I130">
            <v>1000000</v>
          </cell>
          <cell r="J130">
            <v>1000000</v>
          </cell>
          <cell r="K130">
            <v>1000000</v>
          </cell>
          <cell r="L130">
            <v>1000000</v>
          </cell>
        </row>
        <row r="131">
          <cell r="E131">
            <v>275555.13</v>
          </cell>
          <cell r="F131">
            <v>275555.13</v>
          </cell>
          <cell r="G131">
            <v>4200000</v>
          </cell>
          <cell r="H131">
            <v>4374000</v>
          </cell>
          <cell r="I131">
            <v>4555212</v>
          </cell>
          <cell r="J131">
            <v>4743935.0640000002</v>
          </cell>
          <cell r="K131">
            <v>4940480.6630880004</v>
          </cell>
          <cell r="L131">
            <v>5145173.1903936965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view="pageBreakPreview" zoomScaleNormal="60" zoomScaleSheetLayoutView="50" zoomScalePageLayoutView="60" workbookViewId="0">
      <selection activeCell="B71" sqref="B71"/>
    </sheetView>
  </sheetViews>
  <sheetFormatPr defaultRowHeight="15" x14ac:dyDescent="0.25"/>
  <cols>
    <col min="1" max="1" width="16.28515625" bestFit="1" customWidth="1"/>
    <col min="2" max="2" width="51.42578125" bestFit="1" customWidth="1"/>
    <col min="3" max="7" width="11.42578125" bestFit="1" customWidth="1"/>
    <col min="8" max="10" width="10.7109375" bestFit="1" customWidth="1"/>
    <col min="11" max="11" width="11.42578125" bestFit="1" customWidth="1"/>
    <col min="12" max="12" width="14.5703125" customWidth="1"/>
    <col min="13" max="13" width="15" customWidth="1"/>
    <col min="14" max="14" width="22.42578125" bestFit="1" customWidth="1"/>
    <col min="15" max="15" width="54" bestFit="1" customWidth="1"/>
  </cols>
  <sheetData>
    <row r="1" spans="1:15" ht="126" customHeight="1" x14ac:dyDescent="0.25">
      <c r="A1" s="57"/>
      <c r="B1" s="57"/>
      <c r="C1" s="57"/>
      <c r="D1" s="57"/>
      <c r="E1" s="57"/>
      <c r="F1" s="57"/>
      <c r="G1" s="58"/>
      <c r="H1" s="57"/>
      <c r="I1" s="57"/>
      <c r="J1" s="57"/>
      <c r="K1" s="57"/>
      <c r="L1" s="59"/>
      <c r="M1" s="59"/>
      <c r="N1" s="112" t="s">
        <v>230</v>
      </c>
      <c r="O1" s="113"/>
    </row>
    <row r="2" spans="1:15" ht="15.75" x14ac:dyDescent="0.25">
      <c r="A2" s="57"/>
      <c r="B2" s="57"/>
      <c r="C2" s="57"/>
      <c r="D2" s="57"/>
      <c r="E2" s="57"/>
      <c r="F2" s="57"/>
      <c r="G2" s="58"/>
      <c r="H2" s="57"/>
      <c r="I2" s="57"/>
      <c r="J2" s="57"/>
      <c r="K2" s="57"/>
      <c r="L2" s="57"/>
      <c r="M2" s="60"/>
      <c r="N2" s="59"/>
      <c r="O2" s="59"/>
    </row>
    <row r="3" spans="1:15" ht="15.75" x14ac:dyDescent="0.25">
      <c r="A3" s="57"/>
      <c r="B3" s="57"/>
      <c r="C3" s="57"/>
      <c r="D3" s="57"/>
      <c r="E3" s="57"/>
      <c r="F3" s="57"/>
      <c r="G3" s="58"/>
      <c r="H3" s="57"/>
      <c r="I3" s="57"/>
      <c r="J3" s="57"/>
      <c r="K3" s="57"/>
      <c r="L3" s="57"/>
      <c r="M3" s="60"/>
      <c r="N3" s="59"/>
      <c r="O3" s="59"/>
    </row>
    <row r="4" spans="1:15" ht="26.25" x14ac:dyDescent="0.25">
      <c r="A4" s="114" t="s">
        <v>136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1:15" ht="18.75" x14ac:dyDescent="0.25">
      <c r="A5" s="61"/>
      <c r="B5" s="61"/>
      <c r="C5" s="61"/>
      <c r="D5" s="61"/>
      <c r="E5" s="61"/>
      <c r="F5" s="61"/>
      <c r="G5" s="62"/>
      <c r="H5" s="61"/>
      <c r="I5" s="61"/>
      <c r="J5" s="61"/>
      <c r="K5" s="61"/>
      <c r="L5" s="61"/>
      <c r="M5" s="62"/>
      <c r="N5" s="61"/>
      <c r="O5" s="61"/>
    </row>
    <row r="6" spans="1:15" ht="26.25" x14ac:dyDescent="0.4">
      <c r="A6" s="63"/>
      <c r="B6" s="57"/>
      <c r="C6" s="57"/>
      <c r="D6" s="57"/>
      <c r="E6" s="57"/>
      <c r="F6" s="57"/>
      <c r="G6" s="60"/>
      <c r="H6" s="57"/>
      <c r="I6" s="57"/>
      <c r="J6" s="57"/>
      <c r="K6" s="57"/>
      <c r="L6" s="57"/>
      <c r="M6" s="60"/>
      <c r="N6" s="57"/>
      <c r="O6" s="109" t="s">
        <v>137</v>
      </c>
    </row>
    <row r="7" spans="1:15" x14ac:dyDescent="0.25">
      <c r="A7" s="115" t="s">
        <v>138</v>
      </c>
      <c r="B7" s="115" t="s">
        <v>139</v>
      </c>
      <c r="C7" s="115" t="s">
        <v>140</v>
      </c>
      <c r="D7" s="116" t="s">
        <v>141</v>
      </c>
      <c r="E7" s="117"/>
      <c r="F7" s="117"/>
      <c r="G7" s="117"/>
      <c r="H7" s="117"/>
      <c r="I7" s="117"/>
      <c r="J7" s="117"/>
      <c r="K7" s="117"/>
      <c r="L7" s="118"/>
      <c r="M7" s="119" t="s">
        <v>7</v>
      </c>
      <c r="N7" s="115" t="s">
        <v>5</v>
      </c>
      <c r="O7" s="115" t="s">
        <v>142</v>
      </c>
    </row>
    <row r="8" spans="1:15" ht="30.75" customHeight="1" x14ac:dyDescent="0.25">
      <c r="A8" s="115"/>
      <c r="B8" s="115"/>
      <c r="C8" s="115"/>
      <c r="D8" s="107" t="s">
        <v>8</v>
      </c>
      <c r="E8" s="107" t="s">
        <v>9</v>
      </c>
      <c r="F8" s="106" t="s">
        <v>10</v>
      </c>
      <c r="G8" s="107" t="s">
        <v>11</v>
      </c>
      <c r="H8" s="107" t="s">
        <v>12</v>
      </c>
      <c r="I8" s="107" t="s">
        <v>13</v>
      </c>
      <c r="J8" s="107" t="s">
        <v>14</v>
      </c>
      <c r="K8" s="107" t="s">
        <v>15</v>
      </c>
      <c r="L8" s="106" t="s">
        <v>16</v>
      </c>
      <c r="M8" s="120"/>
      <c r="N8" s="115"/>
      <c r="O8" s="115"/>
    </row>
    <row r="9" spans="1:15" x14ac:dyDescent="0.25">
      <c r="A9" s="64">
        <v>1</v>
      </c>
      <c r="B9" s="64">
        <v>2</v>
      </c>
      <c r="C9" s="64">
        <v>3</v>
      </c>
      <c r="D9" s="64">
        <v>4</v>
      </c>
      <c r="E9" s="64">
        <v>5</v>
      </c>
      <c r="F9" s="64">
        <v>6</v>
      </c>
      <c r="G9" s="64">
        <v>7</v>
      </c>
      <c r="H9" s="64">
        <v>8</v>
      </c>
      <c r="I9" s="64">
        <v>9</v>
      </c>
      <c r="J9" s="64">
        <v>10</v>
      </c>
      <c r="K9" s="64">
        <v>11</v>
      </c>
      <c r="L9" s="64">
        <v>12</v>
      </c>
      <c r="M9" s="64">
        <v>14</v>
      </c>
      <c r="N9" s="64">
        <v>15</v>
      </c>
      <c r="O9" s="64">
        <v>16</v>
      </c>
    </row>
    <row r="10" spans="1:15" ht="75" x14ac:dyDescent="0.25">
      <c r="A10" s="64">
        <v>1</v>
      </c>
      <c r="B10" s="66" t="s">
        <v>143</v>
      </c>
      <c r="C10" s="67">
        <v>1852.9</v>
      </c>
      <c r="D10" s="67">
        <v>2026.56</v>
      </c>
      <c r="E10" s="67">
        <v>2133.61</v>
      </c>
      <c r="F10" s="67">
        <f t="shared" ref="F10:L10" si="0">E10*1.01</f>
        <v>2154.9461000000001</v>
      </c>
      <c r="G10" s="67">
        <f t="shared" si="0"/>
        <v>2176.4955610000002</v>
      </c>
      <c r="H10" s="67">
        <f t="shared" si="0"/>
        <v>2198.2605166100002</v>
      </c>
      <c r="I10" s="67">
        <f t="shared" si="0"/>
        <v>2220.2431217761</v>
      </c>
      <c r="J10" s="67">
        <f t="shared" si="0"/>
        <v>2242.4455529938609</v>
      </c>
      <c r="K10" s="67">
        <f t="shared" si="0"/>
        <v>2264.8700085237997</v>
      </c>
      <c r="L10" s="67">
        <f t="shared" si="0"/>
        <v>2287.5187086090377</v>
      </c>
      <c r="M10" s="68">
        <f>L10</f>
        <v>2287.5187086090377</v>
      </c>
      <c r="N10" s="69" t="s">
        <v>144</v>
      </c>
      <c r="O10" s="69"/>
    </row>
    <row r="11" spans="1:15" ht="105" x14ac:dyDescent="0.25">
      <c r="A11" s="64">
        <v>2</v>
      </c>
      <c r="B11" s="66" t="s">
        <v>145</v>
      </c>
      <c r="C11" s="67">
        <v>228916.1</v>
      </c>
      <c r="D11" s="67">
        <v>254174.09</v>
      </c>
      <c r="E11" s="67">
        <v>269352.37</v>
      </c>
      <c r="F11" s="67">
        <v>279926.12</v>
      </c>
      <c r="G11" s="67">
        <v>290429.39</v>
      </c>
      <c r="H11" s="67">
        <v>301359.15999999997</v>
      </c>
      <c r="I11" s="67">
        <v>312480.7</v>
      </c>
      <c r="J11" s="67">
        <v>323199.02</v>
      </c>
      <c r="K11" s="67">
        <v>334366.65999999997</v>
      </c>
      <c r="L11" s="67">
        <v>345886.2</v>
      </c>
      <c r="M11" s="68">
        <f>L11</f>
        <v>345886.2</v>
      </c>
      <c r="N11" s="69" t="s">
        <v>23</v>
      </c>
      <c r="O11" s="69" t="s">
        <v>146</v>
      </c>
    </row>
    <row r="12" spans="1:15" x14ac:dyDescent="0.25">
      <c r="A12" s="57"/>
      <c r="B12" s="57"/>
      <c r="C12" s="57"/>
      <c r="D12" s="57"/>
      <c r="E12" s="57"/>
      <c r="F12" s="57"/>
      <c r="G12" s="60"/>
      <c r="H12" s="57"/>
      <c r="I12" s="57"/>
      <c r="J12" s="57"/>
      <c r="K12" s="57"/>
      <c r="L12" s="57"/>
      <c r="M12" s="60"/>
      <c r="N12" s="57"/>
      <c r="O12" s="57"/>
    </row>
    <row r="13" spans="1:15" x14ac:dyDescent="0.25">
      <c r="A13" s="57"/>
      <c r="B13" s="57"/>
      <c r="C13" s="57"/>
      <c r="D13" s="57"/>
      <c r="E13" s="57"/>
      <c r="F13" s="57"/>
      <c r="G13" s="60"/>
      <c r="H13" s="57"/>
      <c r="I13" s="57"/>
      <c r="J13" s="57"/>
      <c r="K13" s="57"/>
      <c r="L13" s="57"/>
      <c r="M13" s="60"/>
      <c r="N13" s="57"/>
      <c r="O13" s="57"/>
    </row>
    <row r="14" spans="1:15" ht="26.25" x14ac:dyDescent="0.25">
      <c r="A14" s="114" t="s">
        <v>147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</row>
    <row r="15" spans="1:15" ht="18.75" x14ac:dyDescent="0.25">
      <c r="A15" s="61"/>
      <c r="B15" s="61"/>
      <c r="C15" s="61"/>
      <c r="D15" s="61"/>
      <c r="E15" s="61"/>
      <c r="F15" s="61"/>
      <c r="G15" s="62"/>
      <c r="H15" s="61"/>
      <c r="I15" s="61"/>
      <c r="J15" s="61"/>
      <c r="K15" s="61"/>
      <c r="L15" s="61"/>
      <c r="M15" s="62"/>
      <c r="N15" s="61"/>
      <c r="O15" s="61"/>
    </row>
    <row r="16" spans="1:15" ht="26.25" x14ac:dyDescent="0.4">
      <c r="A16" s="61"/>
      <c r="B16" s="57"/>
      <c r="C16" s="57"/>
      <c r="D16" s="57"/>
      <c r="E16" s="57"/>
      <c r="F16" s="57"/>
      <c r="G16" s="60"/>
      <c r="H16" s="57"/>
      <c r="I16" s="57"/>
      <c r="J16" s="57"/>
      <c r="K16" s="57"/>
      <c r="L16" s="57"/>
      <c r="M16" s="109" t="s">
        <v>148</v>
      </c>
      <c r="N16" s="57"/>
      <c r="O16" s="57"/>
    </row>
    <row r="17" spans="1:15" ht="18.75" x14ac:dyDescent="0.25">
      <c r="A17" s="61"/>
      <c r="B17" s="57"/>
      <c r="C17" s="57"/>
      <c r="D17" s="57"/>
      <c r="E17" s="57"/>
      <c r="F17" s="57"/>
      <c r="G17" s="60"/>
      <c r="H17" s="57"/>
      <c r="I17" s="57"/>
      <c r="J17" s="57"/>
      <c r="K17" s="57"/>
      <c r="L17" s="57"/>
      <c r="M17" s="60"/>
      <c r="N17" s="57"/>
      <c r="O17" s="70"/>
    </row>
    <row r="18" spans="1:15" x14ac:dyDescent="0.25">
      <c r="A18" s="123" t="s">
        <v>149</v>
      </c>
      <c r="B18" s="124" t="s">
        <v>150</v>
      </c>
      <c r="C18" s="126" t="s">
        <v>151</v>
      </c>
      <c r="D18" s="127"/>
      <c r="E18" s="127"/>
      <c r="F18" s="127"/>
      <c r="G18" s="127"/>
      <c r="H18" s="127"/>
      <c r="I18" s="127"/>
      <c r="J18" s="127"/>
      <c r="K18" s="128"/>
      <c r="L18" s="129" t="s">
        <v>7</v>
      </c>
      <c r="M18" s="124" t="s">
        <v>5</v>
      </c>
      <c r="N18" s="57"/>
      <c r="O18" s="57"/>
    </row>
    <row r="19" spans="1:15" x14ac:dyDescent="0.25">
      <c r="A19" s="123"/>
      <c r="B19" s="125"/>
      <c r="C19" s="64" t="s">
        <v>8</v>
      </c>
      <c r="D19" s="64" t="s">
        <v>9</v>
      </c>
      <c r="E19" s="64" t="s">
        <v>10</v>
      </c>
      <c r="F19" s="65" t="s">
        <v>11</v>
      </c>
      <c r="G19" s="64" t="s">
        <v>12</v>
      </c>
      <c r="H19" s="64" t="s">
        <v>13</v>
      </c>
      <c r="I19" s="64" t="s">
        <v>14</v>
      </c>
      <c r="J19" s="64" t="s">
        <v>15</v>
      </c>
      <c r="K19" s="64" t="s">
        <v>16</v>
      </c>
      <c r="L19" s="130"/>
      <c r="M19" s="125"/>
      <c r="N19" s="57"/>
      <c r="O19" s="57"/>
    </row>
    <row r="20" spans="1:15" x14ac:dyDescent="0.2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5">
        <v>6</v>
      </c>
      <c r="G20" s="64">
        <v>7</v>
      </c>
      <c r="H20" s="64">
        <v>8</v>
      </c>
      <c r="I20" s="64">
        <v>9</v>
      </c>
      <c r="J20" s="64">
        <v>10</v>
      </c>
      <c r="K20" s="64">
        <v>11</v>
      </c>
      <c r="L20" s="65">
        <v>12</v>
      </c>
      <c r="M20" s="64">
        <v>13</v>
      </c>
      <c r="N20" s="57"/>
      <c r="O20" s="57"/>
    </row>
    <row r="21" spans="1:15" x14ac:dyDescent="0.25">
      <c r="A21" s="71" t="s">
        <v>152</v>
      </c>
      <c r="B21" s="121" t="s">
        <v>153</v>
      </c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72"/>
      <c r="O21" s="57"/>
    </row>
    <row r="22" spans="1:15" x14ac:dyDescent="0.25">
      <c r="A22" s="71" t="s">
        <v>154</v>
      </c>
      <c r="B22" s="121" t="s">
        <v>219</v>
      </c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72"/>
      <c r="O22" s="73"/>
    </row>
    <row r="23" spans="1:15" ht="60" x14ac:dyDescent="0.25">
      <c r="A23" s="64">
        <v>1</v>
      </c>
      <c r="B23" s="74" t="s">
        <v>155</v>
      </c>
      <c r="C23" s="75">
        <v>67.599999999999994</v>
      </c>
      <c r="D23" s="75">
        <v>68.8</v>
      </c>
      <c r="E23" s="75">
        <v>70.2</v>
      </c>
      <c r="F23" s="75">
        <v>71.099999999999994</v>
      </c>
      <c r="G23" s="75">
        <v>71.599999999999994</v>
      </c>
      <c r="H23" s="75">
        <v>72.099999999999994</v>
      </c>
      <c r="I23" s="75">
        <v>72.599999999999994</v>
      </c>
      <c r="J23" s="75">
        <v>73.099999999999994</v>
      </c>
      <c r="K23" s="75">
        <v>73.599999999999994</v>
      </c>
      <c r="L23" s="75">
        <v>73.599999999999994</v>
      </c>
      <c r="M23" s="69" t="s">
        <v>23</v>
      </c>
      <c r="N23" s="76"/>
      <c r="O23" s="77"/>
    </row>
    <row r="24" spans="1:15" x14ac:dyDescent="0.25">
      <c r="A24" s="71" t="s">
        <v>156</v>
      </c>
      <c r="B24" s="131" t="s">
        <v>157</v>
      </c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3"/>
      <c r="N24" s="78"/>
      <c r="O24" s="73"/>
    </row>
    <row r="25" spans="1:15" ht="60" x14ac:dyDescent="0.25">
      <c r="A25" s="69">
        <v>2</v>
      </c>
      <c r="B25" s="79" t="s">
        <v>158</v>
      </c>
      <c r="C25" s="75">
        <v>493</v>
      </c>
      <c r="D25" s="75">
        <v>495</v>
      </c>
      <c r="E25" s="75">
        <v>497</v>
      </c>
      <c r="F25" s="75">
        <v>499</v>
      </c>
      <c r="G25" s="75">
        <v>501</v>
      </c>
      <c r="H25" s="75">
        <v>503</v>
      </c>
      <c r="I25" s="75">
        <v>505</v>
      </c>
      <c r="J25" s="75">
        <v>507</v>
      </c>
      <c r="K25" s="75">
        <v>509</v>
      </c>
      <c r="L25" s="75">
        <f>K25</f>
        <v>509</v>
      </c>
      <c r="M25" s="69" t="s">
        <v>23</v>
      </c>
      <c r="N25" s="57"/>
      <c r="O25" s="77"/>
    </row>
    <row r="26" spans="1:15" ht="30" x14ac:dyDescent="0.25">
      <c r="A26" s="69">
        <v>3</v>
      </c>
      <c r="B26" s="80" t="s">
        <v>159</v>
      </c>
      <c r="C26" s="81">
        <v>37.39</v>
      </c>
      <c r="D26" s="81">
        <v>37.799999999999997</v>
      </c>
      <c r="E26" s="81">
        <v>38.130000000000003</v>
      </c>
      <c r="F26" s="81">
        <v>38.619999999999997</v>
      </c>
      <c r="G26" s="81">
        <v>39.369999999999997</v>
      </c>
      <c r="H26" s="81">
        <v>39.99</v>
      </c>
      <c r="I26" s="81">
        <v>40.58</v>
      </c>
      <c r="J26" s="81">
        <v>41.61</v>
      </c>
      <c r="K26" s="81">
        <v>42.74</v>
      </c>
      <c r="L26" s="67">
        <f>K26</f>
        <v>42.74</v>
      </c>
      <c r="M26" s="69" t="s">
        <v>23</v>
      </c>
      <c r="N26" s="57"/>
      <c r="O26" s="82"/>
    </row>
    <row r="27" spans="1:15" x14ac:dyDescent="0.25">
      <c r="A27" s="69">
        <v>4</v>
      </c>
      <c r="B27" s="80" t="s">
        <v>160</v>
      </c>
      <c r="C27" s="83">
        <v>1</v>
      </c>
      <c r="D27" s="83">
        <v>1</v>
      </c>
      <c r="E27" s="83">
        <v>1</v>
      </c>
      <c r="F27" s="83">
        <v>1</v>
      </c>
      <c r="G27" s="83">
        <v>1</v>
      </c>
      <c r="H27" s="83">
        <v>1</v>
      </c>
      <c r="I27" s="83">
        <v>1</v>
      </c>
      <c r="J27" s="83">
        <v>1</v>
      </c>
      <c r="K27" s="83">
        <v>1</v>
      </c>
      <c r="L27" s="83">
        <v>1</v>
      </c>
      <c r="M27" s="69" t="s">
        <v>23</v>
      </c>
      <c r="N27" s="57"/>
      <c r="O27" s="82"/>
    </row>
    <row r="28" spans="1:15" ht="90" x14ac:dyDescent="0.25">
      <c r="A28" s="69">
        <f>A27+1</f>
        <v>5</v>
      </c>
      <c r="B28" s="80" t="s">
        <v>161</v>
      </c>
      <c r="C28" s="19">
        <v>70</v>
      </c>
      <c r="D28" s="19">
        <v>12</v>
      </c>
      <c r="E28" s="19">
        <v>12</v>
      </c>
      <c r="F28" s="19">
        <v>80</v>
      </c>
      <c r="G28" s="19">
        <v>87</v>
      </c>
      <c r="H28" s="19">
        <v>90</v>
      </c>
      <c r="I28" s="19">
        <v>92</v>
      </c>
      <c r="J28" s="19">
        <v>93</v>
      </c>
      <c r="K28" s="19">
        <v>97</v>
      </c>
      <c r="L28" s="19">
        <f>C28+D28+E28+F28+G28+H28+I28+J28+K28</f>
        <v>633</v>
      </c>
      <c r="M28" s="75" t="s">
        <v>23</v>
      </c>
      <c r="N28" s="57"/>
      <c r="O28" s="82"/>
    </row>
    <row r="29" spans="1:15" ht="75" x14ac:dyDescent="0.25">
      <c r="A29" s="69">
        <f>A28+1</f>
        <v>6</v>
      </c>
      <c r="B29" s="80" t="s">
        <v>162</v>
      </c>
      <c r="C29" s="83">
        <v>100</v>
      </c>
      <c r="D29" s="83">
        <v>100</v>
      </c>
      <c r="E29" s="83">
        <v>100</v>
      </c>
      <c r="F29" s="83">
        <v>100</v>
      </c>
      <c r="G29" s="83">
        <v>100</v>
      </c>
      <c r="H29" s="83">
        <v>100</v>
      </c>
      <c r="I29" s="83">
        <v>100</v>
      </c>
      <c r="J29" s="83">
        <v>100</v>
      </c>
      <c r="K29" s="83">
        <v>100</v>
      </c>
      <c r="L29" s="83">
        <v>100</v>
      </c>
      <c r="M29" s="69" t="s">
        <v>23</v>
      </c>
      <c r="N29" s="57"/>
      <c r="O29" s="82"/>
    </row>
    <row r="30" spans="1:15" x14ac:dyDescent="0.25">
      <c r="A30" s="69">
        <f>A29+1</f>
        <v>7</v>
      </c>
      <c r="B30" s="80" t="s">
        <v>163</v>
      </c>
      <c r="C30" s="83" t="s">
        <v>49</v>
      </c>
      <c r="D30" s="83" t="s">
        <v>49</v>
      </c>
      <c r="E30" s="83" t="s">
        <v>49</v>
      </c>
      <c r="F30" s="83" t="s">
        <v>49</v>
      </c>
      <c r="G30" s="83" t="s">
        <v>49</v>
      </c>
      <c r="H30" s="83" t="s">
        <v>49</v>
      </c>
      <c r="I30" s="83" t="s">
        <v>49</v>
      </c>
      <c r="J30" s="83" t="s">
        <v>49</v>
      </c>
      <c r="K30" s="83" t="s">
        <v>49</v>
      </c>
      <c r="L30" s="83" t="s">
        <v>49</v>
      </c>
      <c r="M30" s="69" t="s">
        <v>23</v>
      </c>
      <c r="N30" s="57"/>
      <c r="O30" s="82"/>
    </row>
    <row r="31" spans="1:15" ht="105" x14ac:dyDescent="0.25">
      <c r="A31" s="69">
        <f>A30+1</f>
        <v>8</v>
      </c>
      <c r="B31" s="80" t="s">
        <v>126</v>
      </c>
      <c r="C31" s="83">
        <v>100</v>
      </c>
      <c r="D31" s="83">
        <v>100</v>
      </c>
      <c r="E31" s="83">
        <v>100</v>
      </c>
      <c r="F31" s="83">
        <v>100</v>
      </c>
      <c r="G31" s="83">
        <v>100</v>
      </c>
      <c r="H31" s="83">
        <v>100</v>
      </c>
      <c r="I31" s="83">
        <v>100</v>
      </c>
      <c r="J31" s="83">
        <v>100</v>
      </c>
      <c r="K31" s="83">
        <v>100</v>
      </c>
      <c r="L31" s="83">
        <v>100</v>
      </c>
      <c r="M31" s="84" t="s">
        <v>164</v>
      </c>
      <c r="N31" s="57"/>
      <c r="O31" s="82"/>
    </row>
    <row r="32" spans="1:15" ht="30" x14ac:dyDescent="0.25">
      <c r="A32" s="69">
        <f>A31+1</f>
        <v>9</v>
      </c>
      <c r="B32" s="80" t="s">
        <v>165</v>
      </c>
      <c r="C32" s="83">
        <v>1</v>
      </c>
      <c r="D32" s="83">
        <v>1</v>
      </c>
      <c r="E32" s="83">
        <v>1</v>
      </c>
      <c r="F32" s="83">
        <v>1</v>
      </c>
      <c r="G32" s="83">
        <v>1</v>
      </c>
      <c r="H32" s="83">
        <v>1</v>
      </c>
      <c r="I32" s="83">
        <v>1</v>
      </c>
      <c r="J32" s="83">
        <v>1</v>
      </c>
      <c r="K32" s="83">
        <v>1</v>
      </c>
      <c r="L32" s="19">
        <f>C32+D32+E32+F32+G32+H32+I32+J32+K32</f>
        <v>9</v>
      </c>
      <c r="M32" s="85" t="s">
        <v>23</v>
      </c>
      <c r="N32" s="76"/>
      <c r="O32" s="82"/>
    </row>
    <row r="33" spans="1:15" x14ac:dyDescent="0.25">
      <c r="A33" s="108" t="s">
        <v>166</v>
      </c>
      <c r="B33" s="134" t="s">
        <v>221</v>
      </c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72"/>
      <c r="O33" s="82"/>
    </row>
    <row r="34" spans="1:15" ht="60" x14ac:dyDescent="0.25">
      <c r="A34" s="71">
        <v>10</v>
      </c>
      <c r="B34" s="80" t="s">
        <v>155</v>
      </c>
      <c r="C34" s="75">
        <v>67.599999999999994</v>
      </c>
      <c r="D34" s="75">
        <v>68.8</v>
      </c>
      <c r="E34" s="75">
        <v>70.2</v>
      </c>
      <c r="F34" s="75">
        <v>71.099999999999994</v>
      </c>
      <c r="G34" s="75">
        <v>71.599999999999994</v>
      </c>
      <c r="H34" s="75">
        <v>72.099999999999994</v>
      </c>
      <c r="I34" s="75">
        <v>72.599999999999994</v>
      </c>
      <c r="J34" s="75">
        <v>73.099999999999994</v>
      </c>
      <c r="K34" s="75">
        <v>73.599999999999994</v>
      </c>
      <c r="L34" s="75">
        <v>73.599999999999994</v>
      </c>
      <c r="M34" s="67" t="s">
        <v>23</v>
      </c>
      <c r="N34" s="76"/>
      <c r="O34" s="82"/>
    </row>
    <row r="35" spans="1:15" ht="150" x14ac:dyDescent="0.25">
      <c r="A35" s="71">
        <v>11</v>
      </c>
      <c r="B35" s="80" t="s">
        <v>220</v>
      </c>
      <c r="C35" s="75">
        <v>74</v>
      </c>
      <c r="D35" s="75">
        <v>74</v>
      </c>
      <c r="E35" s="75">
        <v>74</v>
      </c>
      <c r="F35" s="75">
        <v>74</v>
      </c>
      <c r="G35" s="75">
        <v>74</v>
      </c>
      <c r="H35" s="75">
        <v>74</v>
      </c>
      <c r="I35" s="75">
        <v>74</v>
      </c>
      <c r="J35" s="75">
        <v>74</v>
      </c>
      <c r="K35" s="75">
        <v>74</v>
      </c>
      <c r="L35" s="75">
        <v>74</v>
      </c>
      <c r="M35" s="67" t="s">
        <v>189</v>
      </c>
      <c r="N35" s="76"/>
      <c r="O35" s="82"/>
    </row>
    <row r="36" spans="1:15" ht="75" x14ac:dyDescent="0.25">
      <c r="A36" s="71">
        <v>12</v>
      </c>
      <c r="B36" s="80" t="s">
        <v>229</v>
      </c>
      <c r="C36" s="75">
        <v>13</v>
      </c>
      <c r="D36" s="75">
        <v>13</v>
      </c>
      <c r="E36" s="75">
        <v>13</v>
      </c>
      <c r="F36" s="75">
        <v>13</v>
      </c>
      <c r="G36" s="75">
        <v>13</v>
      </c>
      <c r="H36" s="75">
        <v>13</v>
      </c>
      <c r="I36" s="75">
        <v>13</v>
      </c>
      <c r="J36" s="75">
        <v>13</v>
      </c>
      <c r="K36" s="75">
        <v>13</v>
      </c>
      <c r="L36" s="75">
        <v>13</v>
      </c>
      <c r="M36" s="67" t="s">
        <v>115</v>
      </c>
      <c r="N36" s="76"/>
      <c r="O36" s="82"/>
    </row>
    <row r="37" spans="1:15" x14ac:dyDescent="0.25">
      <c r="A37" s="71" t="s">
        <v>167</v>
      </c>
      <c r="B37" s="121" t="s">
        <v>168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72"/>
      <c r="O37" s="82"/>
    </row>
    <row r="38" spans="1:15" ht="60" x14ac:dyDescent="0.25">
      <c r="A38" s="71">
        <v>13</v>
      </c>
      <c r="B38" s="80" t="s">
        <v>169</v>
      </c>
      <c r="C38" s="19">
        <v>1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1</v>
      </c>
      <c r="M38" s="85" t="s">
        <v>23</v>
      </c>
      <c r="N38" s="76"/>
      <c r="O38" s="82"/>
    </row>
    <row r="39" spans="1:15" x14ac:dyDescent="0.25">
      <c r="A39" s="71" t="s">
        <v>170</v>
      </c>
      <c r="B39" s="121" t="s">
        <v>171</v>
      </c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72"/>
      <c r="O39" s="82"/>
    </row>
    <row r="40" spans="1:15" ht="30" x14ac:dyDescent="0.25">
      <c r="A40" s="69">
        <v>14</v>
      </c>
      <c r="B40" s="80" t="s">
        <v>172</v>
      </c>
      <c r="C40" s="19">
        <v>9093</v>
      </c>
      <c r="D40" s="19">
        <v>9137</v>
      </c>
      <c r="E40" s="19">
        <v>9181</v>
      </c>
      <c r="F40" s="19">
        <v>9223</v>
      </c>
      <c r="G40" s="19">
        <v>9265</v>
      </c>
      <c r="H40" s="19">
        <v>9309</v>
      </c>
      <c r="I40" s="19">
        <v>9353</v>
      </c>
      <c r="J40" s="19">
        <v>9396</v>
      </c>
      <c r="K40" s="19">
        <v>9439</v>
      </c>
      <c r="L40" s="19">
        <f>K40</f>
        <v>9439</v>
      </c>
      <c r="M40" s="86" t="s">
        <v>23</v>
      </c>
      <c r="N40" s="57"/>
      <c r="O40" s="82"/>
    </row>
    <row r="41" spans="1:15" ht="45" x14ac:dyDescent="0.25">
      <c r="A41" s="69">
        <v>15</v>
      </c>
      <c r="B41" s="80" t="s">
        <v>173</v>
      </c>
      <c r="C41" s="19">
        <v>12087</v>
      </c>
      <c r="D41" s="19">
        <v>12146</v>
      </c>
      <c r="E41" s="19">
        <v>12207</v>
      </c>
      <c r="F41" s="19">
        <v>12269</v>
      </c>
      <c r="G41" s="19">
        <v>12332</v>
      </c>
      <c r="H41" s="19">
        <v>12393</v>
      </c>
      <c r="I41" s="19">
        <v>12454</v>
      </c>
      <c r="J41" s="19">
        <v>12519</v>
      </c>
      <c r="K41" s="19">
        <v>12580</v>
      </c>
      <c r="L41" s="19">
        <f>K41</f>
        <v>12580</v>
      </c>
      <c r="M41" s="85" t="s">
        <v>23</v>
      </c>
      <c r="N41" s="57"/>
      <c r="O41" s="82"/>
    </row>
    <row r="42" spans="1:15" x14ac:dyDescent="0.25">
      <c r="A42" s="69">
        <v>16</v>
      </c>
      <c r="B42" s="80" t="s">
        <v>174</v>
      </c>
      <c r="C42" s="19">
        <f t="shared" ref="C42:K42" si="1">C44+C54+C55+C56</f>
        <v>290</v>
      </c>
      <c r="D42" s="19">
        <f t="shared" si="1"/>
        <v>184</v>
      </c>
      <c r="E42" s="19">
        <f t="shared" si="1"/>
        <v>184</v>
      </c>
      <c r="F42" s="19">
        <f t="shared" si="1"/>
        <v>250</v>
      </c>
      <c r="G42" s="19">
        <f t="shared" si="1"/>
        <v>258</v>
      </c>
      <c r="H42" s="19">
        <f t="shared" si="1"/>
        <v>260</v>
      </c>
      <c r="I42" s="19">
        <f t="shared" si="1"/>
        <v>260</v>
      </c>
      <c r="J42" s="19">
        <f t="shared" si="1"/>
        <v>262</v>
      </c>
      <c r="K42" s="19">
        <f t="shared" si="1"/>
        <v>261.90856007161716</v>
      </c>
      <c r="L42" s="19">
        <f>SUM(C42:K42)</f>
        <v>2209.9085600716171</v>
      </c>
      <c r="M42" s="85" t="s">
        <v>23</v>
      </c>
      <c r="N42" s="57"/>
      <c r="O42" s="82"/>
    </row>
    <row r="43" spans="1:15" x14ac:dyDescent="0.25">
      <c r="A43" s="69"/>
      <c r="B43" s="80" t="s">
        <v>175</v>
      </c>
      <c r="C43" s="19"/>
      <c r="D43" s="19"/>
      <c r="E43" s="19"/>
      <c r="F43" s="19"/>
      <c r="G43" s="19"/>
      <c r="H43" s="19"/>
      <c r="I43" s="19"/>
      <c r="J43" s="19"/>
      <c r="K43" s="19"/>
      <c r="L43" s="19">
        <f>SUM(C43:K43)</f>
        <v>0</v>
      </c>
      <c r="M43" s="85"/>
      <c r="N43" s="57"/>
      <c r="O43" s="82"/>
    </row>
    <row r="44" spans="1:15" x14ac:dyDescent="0.25">
      <c r="A44" s="105" t="s">
        <v>225</v>
      </c>
      <c r="B44" s="80" t="s">
        <v>176</v>
      </c>
      <c r="C44" s="19">
        <f>C45+C46+C47+C48+C49+C50+C51+C52+C53</f>
        <v>57</v>
      </c>
      <c r="D44" s="19">
        <f t="shared" ref="D44:K44" si="2">D45+D46+D47+D48+D49+D50+D51+D52+D53</f>
        <v>4</v>
      </c>
      <c r="E44" s="19">
        <f t="shared" si="2"/>
        <v>4</v>
      </c>
      <c r="F44" s="19">
        <f t="shared" si="2"/>
        <v>47</v>
      </c>
      <c r="G44" s="19">
        <f t="shared" si="2"/>
        <v>51</v>
      </c>
      <c r="H44" s="19">
        <f t="shared" si="2"/>
        <v>52</v>
      </c>
      <c r="I44" s="19">
        <f t="shared" si="2"/>
        <v>52</v>
      </c>
      <c r="J44" s="19">
        <f t="shared" si="2"/>
        <v>53</v>
      </c>
      <c r="K44" s="19">
        <f t="shared" si="2"/>
        <v>52.95428003580858</v>
      </c>
      <c r="L44" s="19">
        <f t="shared" ref="L44" si="3">L45+L46+L47+L48+L49+L50+L51+L52+L53</f>
        <v>372.95428003580855</v>
      </c>
      <c r="M44" s="85" t="s">
        <v>23</v>
      </c>
      <c r="N44" s="57"/>
      <c r="O44" s="82"/>
    </row>
    <row r="45" spans="1:15" ht="150" hidden="1" x14ac:dyDescent="0.25">
      <c r="A45" s="69"/>
      <c r="B45" s="87" t="s">
        <v>177</v>
      </c>
      <c r="C45" s="104">
        <v>28</v>
      </c>
      <c r="D45" s="104">
        <v>2</v>
      </c>
      <c r="E45" s="104">
        <v>2</v>
      </c>
      <c r="F45" s="104">
        <v>32</v>
      </c>
      <c r="G45" s="104">
        <v>32</v>
      </c>
      <c r="H45" s="104">
        <v>33</v>
      </c>
      <c r="I45" s="104">
        <v>33</v>
      </c>
      <c r="J45" s="104">
        <v>34</v>
      </c>
      <c r="K45" s="104">
        <f>'Приложение 2'!L39/600000</f>
        <v>33.95428003580858</v>
      </c>
      <c r="L45" s="19">
        <f t="shared" ref="L45:L53" si="4">C45+D45+E45+F45+G45+H45+I45+J45+K45</f>
        <v>229.95428003580858</v>
      </c>
      <c r="M45" s="85" t="s">
        <v>23</v>
      </c>
      <c r="N45" s="57"/>
      <c r="O45" s="82"/>
    </row>
    <row r="46" spans="1:15" ht="382.5" hidden="1" x14ac:dyDescent="0.25">
      <c r="A46" s="69"/>
      <c r="B46" s="89" t="s">
        <v>178</v>
      </c>
      <c r="C46" s="104">
        <f>'Приложение 2'!D42/600000</f>
        <v>0</v>
      </c>
      <c r="D46" s="104">
        <f>'Приложение 2'!E42/600000</f>
        <v>0</v>
      </c>
      <c r="E46" s="104">
        <f>'Приложение 2'!F42/600000</f>
        <v>0</v>
      </c>
      <c r="F46" s="104">
        <v>1</v>
      </c>
      <c r="G46" s="104">
        <v>1</v>
      </c>
      <c r="H46" s="104">
        <v>1</v>
      </c>
      <c r="I46" s="104">
        <v>1</v>
      </c>
      <c r="J46" s="104">
        <v>1</v>
      </c>
      <c r="K46" s="104">
        <v>1</v>
      </c>
      <c r="L46" s="19">
        <f t="shared" si="4"/>
        <v>6</v>
      </c>
      <c r="M46" s="85" t="s">
        <v>23</v>
      </c>
      <c r="N46" s="57"/>
      <c r="O46" s="82"/>
    </row>
    <row r="47" spans="1:15" hidden="1" x14ac:dyDescent="0.25">
      <c r="A47" s="69"/>
      <c r="B47" s="89" t="s">
        <v>179</v>
      </c>
      <c r="C47" s="88">
        <v>0</v>
      </c>
      <c r="D47" s="88">
        <v>0</v>
      </c>
      <c r="E47" s="88">
        <v>0</v>
      </c>
      <c r="F47" s="88">
        <v>1</v>
      </c>
      <c r="G47" s="88">
        <v>2</v>
      </c>
      <c r="H47" s="88">
        <v>2</v>
      </c>
      <c r="I47" s="88">
        <v>2</v>
      </c>
      <c r="J47" s="88">
        <v>2</v>
      </c>
      <c r="K47" s="88">
        <v>2</v>
      </c>
      <c r="L47" s="19">
        <f t="shared" si="4"/>
        <v>11</v>
      </c>
      <c r="M47" s="85" t="s">
        <v>23</v>
      </c>
      <c r="N47" s="57"/>
      <c r="O47" s="82"/>
    </row>
    <row r="48" spans="1:15" hidden="1" x14ac:dyDescent="0.25">
      <c r="A48" s="69"/>
      <c r="B48" s="89" t="s">
        <v>180</v>
      </c>
      <c r="C48" s="88">
        <v>1</v>
      </c>
      <c r="D48" s="88">
        <v>0</v>
      </c>
      <c r="E48" s="88">
        <v>0</v>
      </c>
      <c r="F48" s="88">
        <v>1</v>
      </c>
      <c r="G48" s="88">
        <v>1</v>
      </c>
      <c r="H48" s="88">
        <v>1</v>
      </c>
      <c r="I48" s="88">
        <v>1</v>
      </c>
      <c r="J48" s="88">
        <v>1</v>
      </c>
      <c r="K48" s="88">
        <v>1</v>
      </c>
      <c r="L48" s="19">
        <f t="shared" si="4"/>
        <v>7</v>
      </c>
      <c r="M48" s="85" t="s">
        <v>23</v>
      </c>
      <c r="N48" s="57"/>
      <c r="O48" s="82"/>
    </row>
    <row r="49" spans="1:15" hidden="1" x14ac:dyDescent="0.25">
      <c r="A49" s="69"/>
      <c r="B49" s="89" t="s">
        <v>181</v>
      </c>
      <c r="C49" s="104">
        <v>6</v>
      </c>
      <c r="D49" s="104">
        <v>1</v>
      </c>
      <c r="E49" s="104">
        <v>1</v>
      </c>
      <c r="F49" s="104">
        <v>4</v>
      </c>
      <c r="G49" s="104">
        <v>5</v>
      </c>
      <c r="H49" s="104">
        <v>5</v>
      </c>
      <c r="I49" s="104">
        <v>5</v>
      </c>
      <c r="J49" s="104">
        <v>5</v>
      </c>
      <c r="K49" s="104">
        <v>5</v>
      </c>
      <c r="L49" s="19">
        <f t="shared" si="4"/>
        <v>37</v>
      </c>
      <c r="M49" s="85" t="s">
        <v>23</v>
      </c>
      <c r="N49" s="57"/>
      <c r="O49" s="82"/>
    </row>
    <row r="50" spans="1:15" ht="25.5" hidden="1" x14ac:dyDescent="0.25">
      <c r="A50" s="69"/>
      <c r="B50" s="89" t="s">
        <v>182</v>
      </c>
      <c r="C50" s="88">
        <v>1</v>
      </c>
      <c r="D50" s="88">
        <v>0</v>
      </c>
      <c r="E50" s="88">
        <v>0</v>
      </c>
      <c r="F50" s="88">
        <v>3</v>
      </c>
      <c r="G50" s="88">
        <v>4</v>
      </c>
      <c r="H50" s="88">
        <v>4</v>
      </c>
      <c r="I50" s="88">
        <v>4</v>
      </c>
      <c r="J50" s="88">
        <v>4</v>
      </c>
      <c r="K50" s="88">
        <v>4</v>
      </c>
      <c r="L50" s="19">
        <f t="shared" si="4"/>
        <v>24</v>
      </c>
      <c r="M50" s="85" t="s">
        <v>23</v>
      </c>
      <c r="N50" s="57"/>
      <c r="O50" s="82"/>
    </row>
    <row r="51" spans="1:15" hidden="1" x14ac:dyDescent="0.25">
      <c r="A51" s="69"/>
      <c r="B51" s="89" t="s">
        <v>183</v>
      </c>
      <c r="C51" s="88">
        <v>5</v>
      </c>
      <c r="D51" s="88">
        <v>0</v>
      </c>
      <c r="E51" s="88">
        <v>0</v>
      </c>
      <c r="F51" s="88">
        <v>0</v>
      </c>
      <c r="G51" s="88">
        <v>0</v>
      </c>
      <c r="H51" s="88">
        <v>0</v>
      </c>
      <c r="I51" s="88">
        <v>0</v>
      </c>
      <c r="J51" s="88">
        <v>0</v>
      </c>
      <c r="K51" s="88">
        <v>0</v>
      </c>
      <c r="L51" s="19">
        <f t="shared" si="4"/>
        <v>5</v>
      </c>
      <c r="M51" s="85" t="s">
        <v>23</v>
      </c>
      <c r="N51" s="57"/>
      <c r="O51" s="82"/>
    </row>
    <row r="52" spans="1:15" hidden="1" x14ac:dyDescent="0.25">
      <c r="A52" s="69"/>
      <c r="B52" s="89" t="s">
        <v>184</v>
      </c>
      <c r="C52" s="88">
        <v>0</v>
      </c>
      <c r="D52" s="88">
        <v>0</v>
      </c>
      <c r="E52" s="88">
        <v>0</v>
      </c>
      <c r="F52" s="88">
        <v>0</v>
      </c>
      <c r="G52" s="88">
        <v>0</v>
      </c>
      <c r="H52" s="88">
        <v>0</v>
      </c>
      <c r="I52" s="88">
        <v>0</v>
      </c>
      <c r="J52" s="88">
        <v>0</v>
      </c>
      <c r="K52" s="88">
        <v>0</v>
      </c>
      <c r="L52" s="19">
        <f t="shared" si="4"/>
        <v>0</v>
      </c>
      <c r="M52" s="85" t="s">
        <v>23</v>
      </c>
      <c r="N52" s="57"/>
      <c r="O52" s="82"/>
    </row>
    <row r="53" spans="1:15" hidden="1" x14ac:dyDescent="0.25">
      <c r="A53" s="69"/>
      <c r="B53" s="89" t="s">
        <v>185</v>
      </c>
      <c r="C53" s="104">
        <v>16</v>
      </c>
      <c r="D53" s="104">
        <v>1</v>
      </c>
      <c r="E53" s="104">
        <v>1</v>
      </c>
      <c r="F53" s="104">
        <v>5</v>
      </c>
      <c r="G53" s="104">
        <v>6</v>
      </c>
      <c r="H53" s="104">
        <v>6</v>
      </c>
      <c r="I53" s="104">
        <v>6</v>
      </c>
      <c r="J53" s="104">
        <v>6</v>
      </c>
      <c r="K53" s="104">
        <v>6</v>
      </c>
      <c r="L53" s="19">
        <f t="shared" si="4"/>
        <v>53</v>
      </c>
      <c r="M53" s="85" t="s">
        <v>23</v>
      </c>
      <c r="N53" s="57"/>
      <c r="O53" s="82"/>
    </row>
    <row r="54" spans="1:15" x14ac:dyDescent="0.25">
      <c r="A54" s="69" t="s">
        <v>222</v>
      </c>
      <c r="B54" s="80" t="s">
        <v>186</v>
      </c>
      <c r="C54" s="19">
        <f t="shared" ref="C54:K54" si="5">C44+C55+C56+C64</f>
        <v>180</v>
      </c>
      <c r="D54" s="19">
        <f t="shared" si="5"/>
        <v>127</v>
      </c>
      <c r="E54" s="19">
        <f t="shared" si="5"/>
        <v>127</v>
      </c>
      <c r="F54" s="19">
        <f t="shared" si="5"/>
        <v>150</v>
      </c>
      <c r="G54" s="19">
        <f t="shared" si="5"/>
        <v>154</v>
      </c>
      <c r="H54" s="19">
        <f t="shared" si="5"/>
        <v>155</v>
      </c>
      <c r="I54" s="19">
        <f t="shared" si="5"/>
        <v>155</v>
      </c>
      <c r="J54" s="19">
        <f t="shared" si="5"/>
        <v>156</v>
      </c>
      <c r="K54" s="19">
        <f t="shared" si="5"/>
        <v>155.95428003580858</v>
      </c>
      <c r="L54" s="19">
        <f>SUM(C54:K54)</f>
        <v>1359.9542800358086</v>
      </c>
      <c r="M54" s="85" t="s">
        <v>23</v>
      </c>
      <c r="N54" s="57"/>
      <c r="O54" s="82"/>
    </row>
    <row r="55" spans="1:15" x14ac:dyDescent="0.25">
      <c r="A55" s="69" t="s">
        <v>223</v>
      </c>
      <c r="B55" s="80" t="s">
        <v>187</v>
      </c>
      <c r="C55" s="19">
        <v>25</v>
      </c>
      <c r="D55" s="19">
        <v>25</v>
      </c>
      <c r="E55" s="19">
        <v>25</v>
      </c>
      <c r="F55" s="19">
        <v>25</v>
      </c>
      <c r="G55" s="19">
        <v>25</v>
      </c>
      <c r="H55" s="19">
        <v>25</v>
      </c>
      <c r="I55" s="19">
        <v>25</v>
      </c>
      <c r="J55" s="19">
        <v>25</v>
      </c>
      <c r="K55" s="19">
        <v>25</v>
      </c>
      <c r="L55" s="19">
        <f>SUM(C55:K55)</f>
        <v>225</v>
      </c>
      <c r="M55" s="85" t="s">
        <v>23</v>
      </c>
      <c r="N55" s="57"/>
      <c r="O55" s="82"/>
    </row>
    <row r="56" spans="1:15" x14ac:dyDescent="0.25">
      <c r="A56" s="75" t="s">
        <v>224</v>
      </c>
      <c r="B56" s="80" t="s">
        <v>188</v>
      </c>
      <c r="C56" s="19">
        <v>28</v>
      </c>
      <c r="D56" s="19">
        <v>28</v>
      </c>
      <c r="E56" s="19">
        <v>28</v>
      </c>
      <c r="F56" s="19">
        <v>28</v>
      </c>
      <c r="G56" s="19">
        <v>28</v>
      </c>
      <c r="H56" s="19">
        <v>28</v>
      </c>
      <c r="I56" s="19">
        <v>28</v>
      </c>
      <c r="J56" s="19">
        <v>28</v>
      </c>
      <c r="K56" s="19">
        <v>28</v>
      </c>
      <c r="L56" s="19">
        <v>28</v>
      </c>
      <c r="M56" s="90" t="s">
        <v>115</v>
      </c>
      <c r="N56" s="60"/>
      <c r="O56" s="91"/>
    </row>
    <row r="57" spans="1:15" ht="45" hidden="1" x14ac:dyDescent="0.25">
      <c r="A57" s="92"/>
      <c r="B57" s="87" t="s">
        <v>190</v>
      </c>
      <c r="C57" s="88">
        <v>30</v>
      </c>
      <c r="D57" s="88">
        <v>30</v>
      </c>
      <c r="E57" s="88">
        <v>30</v>
      </c>
      <c r="F57" s="88">
        <v>30</v>
      </c>
      <c r="G57" s="88">
        <v>30</v>
      </c>
      <c r="H57" s="88">
        <v>30</v>
      </c>
      <c r="I57" s="88">
        <v>30</v>
      </c>
      <c r="J57" s="88">
        <v>30</v>
      </c>
      <c r="K57" s="88">
        <v>30</v>
      </c>
      <c r="L57" s="19">
        <f t="shared" ref="L57:L64" si="6">SUM(C57:K57)</f>
        <v>270</v>
      </c>
      <c r="M57" s="85" t="s">
        <v>191</v>
      </c>
      <c r="N57" s="57"/>
      <c r="O57" s="82"/>
    </row>
    <row r="58" spans="1:15" ht="45" hidden="1" x14ac:dyDescent="0.25">
      <c r="A58" s="93"/>
      <c r="B58" s="89" t="s">
        <v>192</v>
      </c>
      <c r="C58" s="94">
        <v>4</v>
      </c>
      <c r="D58" s="94">
        <v>4</v>
      </c>
      <c r="E58" s="94">
        <v>4</v>
      </c>
      <c r="F58" s="94">
        <v>4</v>
      </c>
      <c r="G58" s="94">
        <v>4</v>
      </c>
      <c r="H58" s="94">
        <v>4</v>
      </c>
      <c r="I58" s="94">
        <v>4</v>
      </c>
      <c r="J58" s="94">
        <v>4</v>
      </c>
      <c r="K58" s="94">
        <v>4</v>
      </c>
      <c r="L58" s="19">
        <f t="shared" si="6"/>
        <v>36</v>
      </c>
      <c r="M58" s="85" t="s">
        <v>191</v>
      </c>
      <c r="N58" s="57"/>
      <c r="O58" s="82"/>
    </row>
    <row r="59" spans="1:15" ht="60" x14ac:dyDescent="0.25">
      <c r="A59" s="69">
        <v>17</v>
      </c>
      <c r="B59" s="80" t="s">
        <v>193</v>
      </c>
      <c r="C59" s="19">
        <f>C60+C61+C62+C63</f>
        <v>3</v>
      </c>
      <c r="D59" s="19">
        <f>D60+D61+D62+D63</f>
        <v>3</v>
      </c>
      <c r="E59" s="19">
        <f>E60+E61+E62+E63</f>
        <v>3</v>
      </c>
      <c r="F59" s="19">
        <v>2</v>
      </c>
      <c r="G59" s="19">
        <v>2</v>
      </c>
      <c r="H59" s="19">
        <v>2</v>
      </c>
      <c r="I59" s="19">
        <v>2</v>
      </c>
      <c r="J59" s="19">
        <v>2</v>
      </c>
      <c r="K59" s="19">
        <v>2</v>
      </c>
      <c r="L59" s="19">
        <f t="shared" si="6"/>
        <v>21</v>
      </c>
      <c r="M59" s="85" t="s">
        <v>23</v>
      </c>
      <c r="N59" s="57"/>
      <c r="O59" s="82"/>
    </row>
    <row r="60" spans="1:15" hidden="1" x14ac:dyDescent="0.25">
      <c r="A60" s="95"/>
      <c r="B60" s="87" t="s">
        <v>194</v>
      </c>
      <c r="C60" s="88">
        <v>1</v>
      </c>
      <c r="D60" s="88">
        <v>1</v>
      </c>
      <c r="E60" s="88">
        <v>1</v>
      </c>
      <c r="F60" s="88">
        <v>1</v>
      </c>
      <c r="G60" s="88">
        <v>1</v>
      </c>
      <c r="H60" s="88">
        <v>1</v>
      </c>
      <c r="I60" s="88">
        <v>1</v>
      </c>
      <c r="J60" s="88">
        <v>1</v>
      </c>
      <c r="K60" s="88">
        <v>1</v>
      </c>
      <c r="L60" s="19">
        <f t="shared" si="6"/>
        <v>9</v>
      </c>
      <c r="M60" s="85" t="s">
        <v>23</v>
      </c>
      <c r="N60" s="57"/>
      <c r="O60" s="82"/>
    </row>
    <row r="61" spans="1:15" ht="30" hidden="1" x14ac:dyDescent="0.25">
      <c r="A61" s="95"/>
      <c r="B61" s="87" t="s">
        <v>195</v>
      </c>
      <c r="C61" s="88">
        <v>1</v>
      </c>
      <c r="D61" s="88">
        <v>1</v>
      </c>
      <c r="E61" s="88">
        <v>1</v>
      </c>
      <c r="F61" s="88">
        <v>1</v>
      </c>
      <c r="G61" s="88">
        <v>1</v>
      </c>
      <c r="H61" s="88">
        <v>1</v>
      </c>
      <c r="I61" s="88">
        <v>1</v>
      </c>
      <c r="J61" s="88">
        <v>1</v>
      </c>
      <c r="K61" s="88">
        <v>1</v>
      </c>
      <c r="L61" s="19">
        <f t="shared" si="6"/>
        <v>9</v>
      </c>
      <c r="M61" s="85" t="s">
        <v>23</v>
      </c>
      <c r="N61" s="57"/>
      <c r="O61" s="82"/>
    </row>
    <row r="62" spans="1:15" ht="25.5" hidden="1" x14ac:dyDescent="0.25">
      <c r="A62" s="93"/>
      <c r="B62" s="89" t="s">
        <v>196</v>
      </c>
      <c r="C62" s="88"/>
      <c r="D62" s="88"/>
      <c r="E62" s="88"/>
      <c r="F62" s="88"/>
      <c r="G62" s="88"/>
      <c r="H62" s="88"/>
      <c r="I62" s="88"/>
      <c r="J62" s="88"/>
      <c r="K62" s="88"/>
      <c r="L62" s="19">
        <f t="shared" si="6"/>
        <v>0</v>
      </c>
      <c r="M62" s="85" t="s">
        <v>23</v>
      </c>
      <c r="N62" s="57"/>
      <c r="O62" s="82"/>
    </row>
    <row r="63" spans="1:15" hidden="1" x14ac:dyDescent="0.25">
      <c r="A63" s="93"/>
      <c r="B63" s="89" t="s">
        <v>197</v>
      </c>
      <c r="C63" s="88">
        <v>1</v>
      </c>
      <c r="D63" s="88">
        <v>1</v>
      </c>
      <c r="E63" s="88">
        <v>1</v>
      </c>
      <c r="F63" s="88">
        <v>1</v>
      </c>
      <c r="G63" s="88">
        <v>1</v>
      </c>
      <c r="H63" s="88">
        <v>1</v>
      </c>
      <c r="I63" s="88">
        <v>1</v>
      </c>
      <c r="J63" s="88">
        <v>1</v>
      </c>
      <c r="K63" s="88">
        <v>1</v>
      </c>
      <c r="L63" s="19">
        <f t="shared" si="6"/>
        <v>9</v>
      </c>
      <c r="M63" s="85" t="s">
        <v>23</v>
      </c>
      <c r="N63" s="57"/>
      <c r="O63" s="82"/>
    </row>
    <row r="64" spans="1:15" ht="60" x14ac:dyDescent="0.25">
      <c r="A64" s="69">
        <v>18</v>
      </c>
      <c r="B64" s="80" t="s">
        <v>198</v>
      </c>
      <c r="C64" s="19">
        <f>D65+D66+D67+D68</f>
        <v>70</v>
      </c>
      <c r="D64" s="19">
        <f>E65+E66+E67+E68</f>
        <v>70</v>
      </c>
      <c r="E64" s="19">
        <f>F65+F66+F67+F68</f>
        <v>70</v>
      </c>
      <c r="F64" s="19">
        <v>50</v>
      </c>
      <c r="G64" s="19">
        <v>50</v>
      </c>
      <c r="H64" s="19">
        <v>50</v>
      </c>
      <c r="I64" s="19">
        <v>50</v>
      </c>
      <c r="J64" s="19">
        <v>50</v>
      </c>
      <c r="K64" s="19">
        <v>50</v>
      </c>
      <c r="L64" s="19">
        <f t="shared" si="6"/>
        <v>510</v>
      </c>
      <c r="M64" s="85" t="s">
        <v>23</v>
      </c>
      <c r="N64" s="57"/>
      <c r="O64" s="82"/>
    </row>
    <row r="65" spans="1:15" hidden="1" x14ac:dyDescent="0.25">
      <c r="A65" s="96"/>
      <c r="B65" s="87" t="s">
        <v>194</v>
      </c>
      <c r="C65" s="88">
        <v>20</v>
      </c>
      <c r="D65" s="88">
        <v>20</v>
      </c>
      <c r="E65" s="88">
        <v>20</v>
      </c>
      <c r="F65" s="88">
        <v>20</v>
      </c>
      <c r="G65" s="88">
        <v>20</v>
      </c>
      <c r="H65" s="88">
        <v>20</v>
      </c>
      <c r="I65" s="88">
        <v>20</v>
      </c>
      <c r="J65" s="88">
        <v>20</v>
      </c>
      <c r="K65" s="88">
        <v>20</v>
      </c>
      <c r="L65" s="88">
        <v>20</v>
      </c>
      <c r="M65" s="88">
        <f>SUM(C65:L65)</f>
        <v>200</v>
      </c>
      <c r="N65" s="57"/>
      <c r="O65" s="82"/>
    </row>
    <row r="66" spans="1:15" ht="30" hidden="1" x14ac:dyDescent="0.25">
      <c r="A66" s="96"/>
      <c r="B66" s="87" t="s">
        <v>195</v>
      </c>
      <c r="C66" s="88">
        <v>25</v>
      </c>
      <c r="D66" s="88">
        <v>25</v>
      </c>
      <c r="E66" s="88">
        <v>25</v>
      </c>
      <c r="F66" s="88">
        <v>25</v>
      </c>
      <c r="G66" s="88">
        <v>25</v>
      </c>
      <c r="H66" s="88">
        <v>25</v>
      </c>
      <c r="I66" s="88">
        <v>25</v>
      </c>
      <c r="J66" s="88">
        <v>25</v>
      </c>
      <c r="K66" s="88">
        <v>25</v>
      </c>
      <c r="L66" s="88">
        <v>25</v>
      </c>
      <c r="M66" s="88">
        <f>SUM(C66:L66)</f>
        <v>250</v>
      </c>
      <c r="N66" s="57"/>
      <c r="O66" s="82"/>
    </row>
    <row r="67" spans="1:15" ht="25.5" hidden="1" x14ac:dyDescent="0.25">
      <c r="A67" s="97"/>
      <c r="B67" s="89" t="s">
        <v>196</v>
      </c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>
        <f>SUM(C67:L67)</f>
        <v>0</v>
      </c>
      <c r="N67" s="57"/>
      <c r="O67" s="82"/>
    </row>
    <row r="68" spans="1:15" hidden="1" x14ac:dyDescent="0.25">
      <c r="A68" s="97"/>
      <c r="B68" s="89" t="s">
        <v>197</v>
      </c>
      <c r="C68" s="88">
        <v>25</v>
      </c>
      <c r="D68" s="88">
        <v>25</v>
      </c>
      <c r="E68" s="88">
        <v>25</v>
      </c>
      <c r="F68" s="88">
        <v>25</v>
      </c>
      <c r="G68" s="88">
        <v>25</v>
      </c>
      <c r="H68" s="88">
        <v>25</v>
      </c>
      <c r="I68" s="88">
        <v>25</v>
      </c>
      <c r="J68" s="88">
        <v>25</v>
      </c>
      <c r="K68" s="88">
        <v>25</v>
      </c>
      <c r="L68" s="88">
        <v>25</v>
      </c>
      <c r="M68" s="88">
        <f>SUM(C68:L68)</f>
        <v>250</v>
      </c>
      <c r="N68" s="57"/>
      <c r="O68" s="82"/>
    </row>
    <row r="69" spans="1:15" ht="45" x14ac:dyDescent="0.25">
      <c r="A69" s="69">
        <v>19</v>
      </c>
      <c r="B69" s="80" t="s">
        <v>199</v>
      </c>
      <c r="C69" s="19" t="s">
        <v>49</v>
      </c>
      <c r="D69" s="19" t="s">
        <v>200</v>
      </c>
      <c r="E69" s="19" t="s">
        <v>200</v>
      </c>
      <c r="F69" s="19" t="s">
        <v>200</v>
      </c>
      <c r="G69" s="19" t="s">
        <v>200</v>
      </c>
      <c r="H69" s="19" t="s">
        <v>200</v>
      </c>
      <c r="I69" s="19" t="s">
        <v>200</v>
      </c>
      <c r="J69" s="19" t="s">
        <v>200</v>
      </c>
      <c r="K69" s="19" t="s">
        <v>200</v>
      </c>
      <c r="L69" s="19" t="s">
        <v>49</v>
      </c>
      <c r="M69" s="85" t="s">
        <v>52</v>
      </c>
      <c r="N69" s="57"/>
      <c r="O69" s="82"/>
    </row>
    <row r="70" spans="1:15" ht="45" x14ac:dyDescent="0.25">
      <c r="A70" s="69">
        <v>20</v>
      </c>
      <c r="B70" s="80" t="s">
        <v>201</v>
      </c>
      <c r="C70" s="19">
        <v>5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85" t="s">
        <v>52</v>
      </c>
      <c r="N70" s="57"/>
      <c r="O70" s="82"/>
    </row>
    <row r="71" spans="1:15" x14ac:dyDescent="0.25">
      <c r="A71" s="69">
        <v>21</v>
      </c>
      <c r="B71" s="80" t="s">
        <v>202</v>
      </c>
      <c r="C71" s="19" t="s">
        <v>49</v>
      </c>
      <c r="D71" s="19" t="s">
        <v>49</v>
      </c>
      <c r="E71" s="19" t="s">
        <v>49</v>
      </c>
      <c r="F71" s="19" t="s">
        <v>49</v>
      </c>
      <c r="G71" s="19" t="s">
        <v>49</v>
      </c>
      <c r="H71" s="19" t="s">
        <v>49</v>
      </c>
      <c r="I71" s="19" t="s">
        <v>49</v>
      </c>
      <c r="J71" s="19" t="s">
        <v>49</v>
      </c>
      <c r="K71" s="19" t="s">
        <v>49</v>
      </c>
      <c r="L71" s="19" t="s">
        <v>49</v>
      </c>
      <c r="M71" s="85" t="s">
        <v>23</v>
      </c>
      <c r="N71" s="57"/>
      <c r="O71" s="82"/>
    </row>
    <row r="72" spans="1:15" ht="43.5" customHeight="1" x14ac:dyDescent="0.25">
      <c r="A72" s="69">
        <v>22</v>
      </c>
      <c r="B72" s="80" t="s">
        <v>203</v>
      </c>
      <c r="C72" s="19" t="s">
        <v>49</v>
      </c>
      <c r="D72" s="19" t="s">
        <v>49</v>
      </c>
      <c r="E72" s="19" t="s">
        <v>49</v>
      </c>
      <c r="F72" s="19" t="s">
        <v>49</v>
      </c>
      <c r="G72" s="19" t="s">
        <v>49</v>
      </c>
      <c r="H72" s="19" t="s">
        <v>49</v>
      </c>
      <c r="I72" s="19" t="s">
        <v>49</v>
      </c>
      <c r="J72" s="19" t="s">
        <v>49</v>
      </c>
      <c r="K72" s="19" t="s">
        <v>49</v>
      </c>
      <c r="L72" s="19" t="s">
        <v>49</v>
      </c>
      <c r="M72" s="85" t="s">
        <v>23</v>
      </c>
      <c r="N72" s="57"/>
      <c r="O72" s="82"/>
    </row>
    <row r="73" spans="1:15" x14ac:dyDescent="0.25">
      <c r="A73" s="57"/>
      <c r="B73" s="57"/>
      <c r="C73" s="57"/>
      <c r="D73" s="57"/>
      <c r="E73" s="57"/>
      <c r="F73" s="57"/>
      <c r="G73" s="60"/>
      <c r="H73" s="57"/>
      <c r="I73" s="57"/>
      <c r="J73" s="57"/>
      <c r="K73" s="57"/>
      <c r="L73" s="57"/>
      <c r="M73" s="60"/>
      <c r="N73" s="57"/>
      <c r="O73" s="82"/>
    </row>
  </sheetData>
  <mergeCells count="21">
    <mergeCell ref="B39:M39"/>
    <mergeCell ref="A14:O14"/>
    <mergeCell ref="A18:A19"/>
    <mergeCell ref="B18:B19"/>
    <mergeCell ref="C18:K18"/>
    <mergeCell ref="L18:L19"/>
    <mergeCell ref="M18:M19"/>
    <mergeCell ref="B21:M21"/>
    <mergeCell ref="B22:M22"/>
    <mergeCell ref="B24:M24"/>
    <mergeCell ref="B33:M33"/>
    <mergeCell ref="B37:M37"/>
    <mergeCell ref="N1:O1"/>
    <mergeCell ref="A4:O4"/>
    <mergeCell ref="A7:A8"/>
    <mergeCell ref="B7:B8"/>
    <mergeCell ref="C7:C8"/>
    <mergeCell ref="D7:L7"/>
    <mergeCell ref="M7:M8"/>
    <mergeCell ref="N7:N8"/>
    <mergeCell ref="O7:O8"/>
  </mergeCells>
  <pageMargins left="0.70866141732283472" right="0.70866141732283472" top="1.1811023622047245" bottom="0.74803149606299213" header="0.31496062992125984" footer="0.31496062992125984"/>
  <pageSetup paperSize="9" scale="45" firstPageNumber="3" orientation="landscape" useFirstPageNumber="1" verticalDpi="0" r:id="rId1"/>
  <headerFooter>
    <oddHeader>&amp;C&amp;"Times New Roman,обычный"&amp;18&amp;P</oddHead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4"/>
  <sheetViews>
    <sheetView view="pageBreakPreview" topLeftCell="A192" zoomScale="70" zoomScaleNormal="70" zoomScaleSheetLayoutView="70" workbookViewId="0">
      <selection activeCell="A45" sqref="A45:A47"/>
    </sheetView>
  </sheetViews>
  <sheetFormatPr defaultColWidth="8.7109375" defaultRowHeight="15" x14ac:dyDescent="0.25"/>
  <cols>
    <col min="1" max="1" width="53.28515625" style="5" customWidth="1"/>
    <col min="2" max="2" width="16.85546875" style="5" customWidth="1"/>
    <col min="3" max="3" width="15.140625" style="10" customWidth="1"/>
    <col min="4" max="5" width="13.140625" style="10" customWidth="1"/>
    <col min="6" max="6" width="12.42578125" style="10" customWidth="1"/>
    <col min="7" max="8" width="13.5703125" style="10" customWidth="1"/>
    <col min="9" max="9" width="13.28515625" style="10" customWidth="1"/>
    <col min="10" max="10" width="13" style="10" customWidth="1"/>
    <col min="11" max="12" width="13.5703125" style="10" customWidth="1"/>
    <col min="13" max="13" width="22.28515625" style="56" customWidth="1"/>
    <col min="14" max="14" width="20.140625" style="5" hidden="1" customWidth="1"/>
    <col min="15" max="15" width="12.42578125" style="5" hidden="1" customWidth="1"/>
    <col min="16" max="16" width="11.42578125" style="5" hidden="1" customWidth="1"/>
    <col min="17" max="21" width="10.140625" style="5" hidden="1" customWidth="1"/>
    <col min="22" max="26" width="9.42578125" style="5" hidden="1" customWidth="1"/>
    <col min="27" max="27" width="52.28515625" style="5" hidden="1" customWidth="1"/>
    <col min="28" max="28" width="9.140625" style="5" hidden="1" customWidth="1"/>
    <col min="29" max="30" width="9.140625" style="4" hidden="1" customWidth="1"/>
    <col min="31" max="31" width="12.28515625" style="4" hidden="1" customWidth="1"/>
    <col min="32" max="32" width="10.85546875" style="4" hidden="1" customWidth="1"/>
    <col min="33" max="16384" width="8.7109375" style="4"/>
  </cols>
  <sheetData>
    <row r="1" spans="1:26" ht="143.25" customHeight="1" x14ac:dyDescent="0.25">
      <c r="A1" s="1"/>
      <c r="B1" s="1"/>
      <c r="C1" s="2"/>
      <c r="D1" s="2"/>
      <c r="E1" s="2"/>
      <c r="F1" s="2"/>
      <c r="G1" s="2"/>
      <c r="H1" s="2"/>
      <c r="I1" s="140" t="s">
        <v>231</v>
      </c>
      <c r="J1" s="141"/>
      <c r="K1" s="141"/>
      <c r="L1" s="141"/>
      <c r="M1" s="141"/>
      <c r="N1" s="3"/>
      <c r="O1" s="4"/>
    </row>
    <row r="2" spans="1:26" ht="62.25" customHeight="1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3"/>
      <c r="M2" s="2"/>
      <c r="N2" s="3"/>
      <c r="O2" s="4"/>
    </row>
    <row r="3" spans="1:26" ht="75" customHeight="1" x14ac:dyDescent="0.25">
      <c r="A3" s="136" t="s">
        <v>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6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8.75" customHeight="1" x14ac:dyDescent="0.25">
      <c r="A4" s="8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2"/>
      <c r="N4" s="6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8.75" customHeight="1" x14ac:dyDescent="0.25">
      <c r="A5" s="8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2"/>
      <c r="N5" s="6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39" customHeight="1" x14ac:dyDescent="0.25">
      <c r="A6" s="1"/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110" t="s">
        <v>1</v>
      </c>
      <c r="N6" s="9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6" x14ac:dyDescent="0.25">
      <c r="M7" s="2"/>
      <c r="N7" s="11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ht="15" customHeight="1" x14ac:dyDescent="0.25">
      <c r="A8" s="137" t="s">
        <v>2</v>
      </c>
      <c r="B8" s="137" t="s">
        <v>3</v>
      </c>
      <c r="C8" s="137" t="s">
        <v>4</v>
      </c>
      <c r="D8" s="137"/>
      <c r="E8" s="137"/>
      <c r="F8" s="137"/>
      <c r="G8" s="137"/>
      <c r="H8" s="137"/>
      <c r="I8" s="137"/>
      <c r="J8" s="137"/>
      <c r="K8" s="137"/>
      <c r="L8" s="137"/>
      <c r="M8" s="137" t="s">
        <v>5</v>
      </c>
      <c r="N8" s="12" t="s">
        <v>6</v>
      </c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 t="s">
        <v>7</v>
      </c>
    </row>
    <row r="9" spans="1:26" ht="66" customHeight="1" x14ac:dyDescent="0.25">
      <c r="A9" s="137"/>
      <c r="B9" s="137"/>
      <c r="C9" s="137"/>
      <c r="D9" s="13" t="s">
        <v>8</v>
      </c>
      <c r="E9" s="13" t="s">
        <v>9</v>
      </c>
      <c r="F9" s="13" t="s">
        <v>10</v>
      </c>
      <c r="G9" s="13" t="s">
        <v>11</v>
      </c>
      <c r="H9" s="13" t="s">
        <v>12</v>
      </c>
      <c r="I9" s="13" t="s">
        <v>13</v>
      </c>
      <c r="J9" s="13" t="s">
        <v>14</v>
      </c>
      <c r="K9" s="13" t="s">
        <v>15</v>
      </c>
      <c r="L9" s="13" t="s">
        <v>16</v>
      </c>
      <c r="M9" s="137"/>
      <c r="N9" s="12"/>
      <c r="O9" s="13" t="s">
        <v>17</v>
      </c>
      <c r="P9" s="13" t="s">
        <v>18</v>
      </c>
      <c r="Q9" s="13" t="s">
        <v>8</v>
      </c>
      <c r="R9" s="13" t="s">
        <v>9</v>
      </c>
      <c r="S9" s="13" t="s">
        <v>10</v>
      </c>
      <c r="T9" s="13" t="s">
        <v>11</v>
      </c>
      <c r="U9" s="13" t="s">
        <v>12</v>
      </c>
      <c r="V9" s="13" t="s">
        <v>13</v>
      </c>
      <c r="W9" s="13" t="s">
        <v>14</v>
      </c>
      <c r="X9" s="13" t="s">
        <v>15</v>
      </c>
      <c r="Y9" s="13" t="s">
        <v>16</v>
      </c>
      <c r="Z9" s="137"/>
    </row>
    <row r="10" spans="1:26" s="5" customFormat="1" ht="29.25" customHeight="1" x14ac:dyDescent="0.25">
      <c r="A10" s="142" t="s">
        <v>19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5"/>
    </row>
    <row r="11" spans="1:26" s="5" customFormat="1" ht="29.25" customHeight="1" x14ac:dyDescent="0.25">
      <c r="A11" s="142" t="s">
        <v>20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5"/>
    </row>
    <row r="12" spans="1:26" s="5" customFormat="1" ht="66.75" customHeight="1" x14ac:dyDescent="0.25">
      <c r="A12" s="16" t="s">
        <v>21</v>
      </c>
      <c r="B12" s="17" t="s">
        <v>22</v>
      </c>
      <c r="C12" s="17" t="s">
        <v>22</v>
      </c>
      <c r="D12" s="17" t="s">
        <v>22</v>
      </c>
      <c r="E12" s="17" t="s">
        <v>22</v>
      </c>
      <c r="F12" s="17" t="s">
        <v>22</v>
      </c>
      <c r="G12" s="17" t="s">
        <v>22</v>
      </c>
      <c r="H12" s="17" t="s">
        <v>22</v>
      </c>
      <c r="I12" s="17" t="s">
        <v>22</v>
      </c>
      <c r="J12" s="17" t="s">
        <v>22</v>
      </c>
      <c r="K12" s="17" t="s">
        <v>22</v>
      </c>
      <c r="L12" s="17" t="s">
        <v>22</v>
      </c>
      <c r="M12" s="13" t="s">
        <v>23</v>
      </c>
      <c r="N12" s="18" t="s">
        <v>24</v>
      </c>
      <c r="O12" s="19">
        <v>2</v>
      </c>
      <c r="P12" s="19">
        <v>2</v>
      </c>
      <c r="Q12" s="19">
        <v>2</v>
      </c>
      <c r="R12" s="19">
        <v>2</v>
      </c>
      <c r="S12" s="19">
        <v>2</v>
      </c>
      <c r="T12" s="19">
        <v>2</v>
      </c>
      <c r="U12" s="19">
        <v>2</v>
      </c>
      <c r="V12" s="19">
        <v>2</v>
      </c>
      <c r="W12" s="19">
        <v>2</v>
      </c>
      <c r="X12" s="19">
        <v>2</v>
      </c>
      <c r="Y12" s="19">
        <v>2</v>
      </c>
      <c r="Z12" s="19">
        <f>SUM(O12:Y12)</f>
        <v>22</v>
      </c>
    </row>
    <row r="13" spans="1:26" s="5" customFormat="1" ht="29.25" customHeight="1" x14ac:dyDescent="0.25">
      <c r="A13" s="143" t="s">
        <v>25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1"/>
    </row>
    <row r="14" spans="1:26" s="5" customFormat="1" ht="63.75" customHeight="1" x14ac:dyDescent="0.25">
      <c r="A14" s="16" t="s">
        <v>26</v>
      </c>
      <c r="B14" s="17" t="s">
        <v>22</v>
      </c>
      <c r="C14" s="17" t="s">
        <v>22</v>
      </c>
      <c r="D14" s="17" t="s">
        <v>22</v>
      </c>
      <c r="E14" s="17" t="s">
        <v>22</v>
      </c>
      <c r="F14" s="17" t="s">
        <v>22</v>
      </c>
      <c r="G14" s="17" t="s">
        <v>22</v>
      </c>
      <c r="H14" s="17" t="s">
        <v>22</v>
      </c>
      <c r="I14" s="17" t="s">
        <v>22</v>
      </c>
      <c r="J14" s="17" t="s">
        <v>22</v>
      </c>
      <c r="K14" s="17" t="s">
        <v>22</v>
      </c>
      <c r="L14" s="17" t="s">
        <v>22</v>
      </c>
      <c r="M14" s="13" t="s">
        <v>23</v>
      </c>
      <c r="N14" s="18" t="s">
        <v>27</v>
      </c>
      <c r="O14" s="19">
        <v>20</v>
      </c>
      <c r="P14" s="19">
        <v>20</v>
      </c>
      <c r="Q14" s="19">
        <v>20</v>
      </c>
      <c r="R14" s="19">
        <v>20</v>
      </c>
      <c r="S14" s="19">
        <v>20</v>
      </c>
      <c r="T14" s="19">
        <v>20</v>
      </c>
      <c r="U14" s="19">
        <v>20</v>
      </c>
      <c r="V14" s="19">
        <v>20</v>
      </c>
      <c r="W14" s="19">
        <v>20</v>
      </c>
      <c r="X14" s="19">
        <v>20</v>
      </c>
      <c r="Y14" s="19">
        <v>20</v>
      </c>
      <c r="Z14" s="19">
        <f>Y14</f>
        <v>20</v>
      </c>
    </row>
    <row r="15" spans="1:26" s="5" customFormat="1" ht="29.25" customHeight="1" x14ac:dyDescent="0.25">
      <c r="A15" s="143" t="s">
        <v>28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1"/>
    </row>
    <row r="16" spans="1:26" s="5" customFormat="1" ht="27.75" customHeight="1" x14ac:dyDescent="0.25">
      <c r="A16" s="138" t="s">
        <v>29</v>
      </c>
      <c r="B16" s="16" t="s">
        <v>30</v>
      </c>
      <c r="C16" s="17">
        <f>SUM(D16:L16)</f>
        <v>11028923.07</v>
      </c>
      <c r="D16" s="17">
        <f t="shared" ref="D16:L16" si="0">D17+D18</f>
        <v>1221333.33</v>
      </c>
      <c r="E16" s="17">
        <f t="shared" si="0"/>
        <v>1699794.87</v>
      </c>
      <c r="F16" s="17">
        <f t="shared" si="0"/>
        <v>1699794.87</v>
      </c>
      <c r="G16" s="17">
        <f t="shared" si="0"/>
        <v>1068000</v>
      </c>
      <c r="H16" s="17">
        <f t="shared" si="0"/>
        <v>1068000</v>
      </c>
      <c r="I16" s="17">
        <f t="shared" si="0"/>
        <v>1068000</v>
      </c>
      <c r="J16" s="17">
        <f t="shared" si="0"/>
        <v>1068000</v>
      </c>
      <c r="K16" s="17">
        <f t="shared" si="0"/>
        <v>1068000</v>
      </c>
      <c r="L16" s="17">
        <f t="shared" si="0"/>
        <v>1068000</v>
      </c>
      <c r="M16" s="139" t="s">
        <v>31</v>
      </c>
      <c r="N16" s="18" t="s">
        <v>32</v>
      </c>
      <c r="O16" s="19">
        <f t="shared" ref="O16:Y16" si="1">O23</f>
        <v>1</v>
      </c>
      <c r="P16" s="19">
        <f t="shared" si="1"/>
        <v>1</v>
      </c>
      <c r="Q16" s="19">
        <f t="shared" si="1"/>
        <v>1</v>
      </c>
      <c r="R16" s="19">
        <f t="shared" si="1"/>
        <v>1</v>
      </c>
      <c r="S16" s="19">
        <f t="shared" si="1"/>
        <v>1</v>
      </c>
      <c r="T16" s="19">
        <f t="shared" si="1"/>
        <v>1</v>
      </c>
      <c r="U16" s="19">
        <f t="shared" si="1"/>
        <v>1</v>
      </c>
      <c r="V16" s="19">
        <f t="shared" si="1"/>
        <v>1</v>
      </c>
      <c r="W16" s="19">
        <f t="shared" si="1"/>
        <v>1</v>
      </c>
      <c r="X16" s="19">
        <f t="shared" si="1"/>
        <v>1</v>
      </c>
      <c r="Y16" s="19">
        <f t="shared" si="1"/>
        <v>1</v>
      </c>
      <c r="Z16" s="19">
        <f>SUM(O16:Y16)</f>
        <v>11</v>
      </c>
    </row>
    <row r="17" spans="1:32" s="5" customFormat="1" ht="63.75" x14ac:dyDescent="0.25">
      <c r="A17" s="138"/>
      <c r="B17" s="16" t="s">
        <v>33</v>
      </c>
      <c r="C17" s="17">
        <f>SUM(D17:L17)</f>
        <v>0</v>
      </c>
      <c r="D17" s="17">
        <f t="shared" ref="D17:L17" si="2">D21+D24+D27+D34</f>
        <v>0</v>
      </c>
      <c r="E17" s="17">
        <f t="shared" si="2"/>
        <v>0</v>
      </c>
      <c r="F17" s="17">
        <f t="shared" si="2"/>
        <v>0</v>
      </c>
      <c r="G17" s="17">
        <f t="shared" si="2"/>
        <v>0</v>
      </c>
      <c r="H17" s="17">
        <f t="shared" si="2"/>
        <v>0</v>
      </c>
      <c r="I17" s="17">
        <f t="shared" si="2"/>
        <v>0</v>
      </c>
      <c r="J17" s="17">
        <f t="shared" si="2"/>
        <v>0</v>
      </c>
      <c r="K17" s="17">
        <f t="shared" si="2"/>
        <v>0</v>
      </c>
      <c r="L17" s="17">
        <f t="shared" si="2"/>
        <v>0</v>
      </c>
      <c r="M17" s="139"/>
      <c r="N17" s="18" t="s">
        <v>34</v>
      </c>
      <c r="O17" s="19" t="e">
        <f>O20+#REF!</f>
        <v>#REF!</v>
      </c>
      <c r="P17" s="19" t="e">
        <f>P20+#REF!</f>
        <v>#REF!</v>
      </c>
      <c r="Q17" s="19" t="e">
        <f>Q20+#REF!</f>
        <v>#REF!</v>
      </c>
      <c r="R17" s="19" t="e">
        <f>R20+#REF!</f>
        <v>#REF!</v>
      </c>
      <c r="S17" s="19" t="e">
        <f>S20+#REF!</f>
        <v>#REF!</v>
      </c>
      <c r="T17" s="19" t="e">
        <f>T20+#REF!</f>
        <v>#REF!</v>
      </c>
      <c r="U17" s="19" t="e">
        <f>U20+#REF!</f>
        <v>#REF!</v>
      </c>
      <c r="V17" s="19" t="e">
        <f>V20+#REF!</f>
        <v>#REF!</v>
      </c>
      <c r="W17" s="19" t="e">
        <f>W20+#REF!</f>
        <v>#REF!</v>
      </c>
      <c r="X17" s="19" t="e">
        <f>X20+#REF!</f>
        <v>#REF!</v>
      </c>
      <c r="Y17" s="19" t="e">
        <f>Y20+#REF!</f>
        <v>#REF!</v>
      </c>
      <c r="Z17" s="19" t="e">
        <f>SUM(O17:Y17)</f>
        <v>#REF!</v>
      </c>
    </row>
    <row r="18" spans="1:32" s="5" customFormat="1" ht="40.5" customHeight="1" x14ac:dyDescent="0.25">
      <c r="A18" s="138"/>
      <c r="B18" s="22" t="s">
        <v>35</v>
      </c>
      <c r="C18" s="17">
        <f>SUM(D18:L18)</f>
        <v>11028923.07</v>
      </c>
      <c r="D18" s="17">
        <f t="shared" ref="D18:L18" si="3">D22+D25+D28+D35+D31</f>
        <v>1221333.33</v>
      </c>
      <c r="E18" s="17">
        <f t="shared" si="3"/>
        <v>1699794.87</v>
      </c>
      <c r="F18" s="17">
        <f t="shared" si="3"/>
        <v>1699794.87</v>
      </c>
      <c r="G18" s="17">
        <f t="shared" si="3"/>
        <v>1068000</v>
      </c>
      <c r="H18" s="17">
        <f t="shared" si="3"/>
        <v>1068000</v>
      </c>
      <c r="I18" s="17">
        <f t="shared" si="3"/>
        <v>1068000</v>
      </c>
      <c r="J18" s="17">
        <f t="shared" si="3"/>
        <v>1068000</v>
      </c>
      <c r="K18" s="17">
        <f t="shared" si="3"/>
        <v>1068000</v>
      </c>
      <c r="L18" s="17">
        <f t="shared" si="3"/>
        <v>1068000</v>
      </c>
      <c r="M18" s="139"/>
      <c r="N18" s="18" t="s">
        <v>36</v>
      </c>
      <c r="O18" s="19" t="e">
        <f>O22+O25+#REF!</f>
        <v>#REF!</v>
      </c>
      <c r="P18" s="19" t="e">
        <f>P22+P25+#REF!</f>
        <v>#REF!</v>
      </c>
      <c r="Q18" s="19" t="e">
        <f>Q22+Q25+#REF!</f>
        <v>#REF!</v>
      </c>
      <c r="R18" s="19" t="e">
        <f>R22+R25+#REF!</f>
        <v>#REF!</v>
      </c>
      <c r="S18" s="19" t="e">
        <f>S22+S25+#REF!</f>
        <v>#REF!</v>
      </c>
      <c r="T18" s="19" t="e">
        <f>T22+T25+#REF!</f>
        <v>#REF!</v>
      </c>
      <c r="U18" s="19" t="e">
        <f>U22+U25+#REF!</f>
        <v>#REF!</v>
      </c>
      <c r="V18" s="19" t="e">
        <f>V22+V25+#REF!</f>
        <v>#REF!</v>
      </c>
      <c r="W18" s="19" t="e">
        <f>W22+W25+#REF!</f>
        <v>#REF!</v>
      </c>
      <c r="X18" s="19" t="e">
        <f>X22+X25+#REF!</f>
        <v>#REF!</v>
      </c>
      <c r="Y18" s="19" t="e">
        <f>Y22+Y25+#REF!</f>
        <v>#REF!</v>
      </c>
      <c r="Z18" s="19" t="e">
        <f>SUM(O18:Y18)</f>
        <v>#REF!</v>
      </c>
    </row>
    <row r="19" spans="1:32" s="5" customFormat="1" ht="48" customHeight="1" x14ac:dyDescent="0.25">
      <c r="A19" s="16" t="s">
        <v>37</v>
      </c>
      <c r="B19" s="17" t="s">
        <v>22</v>
      </c>
      <c r="C19" s="17" t="s">
        <v>22</v>
      </c>
      <c r="D19" s="17" t="s">
        <v>22</v>
      </c>
      <c r="E19" s="17" t="s">
        <v>22</v>
      </c>
      <c r="F19" s="17" t="s">
        <v>22</v>
      </c>
      <c r="G19" s="17" t="s">
        <v>22</v>
      </c>
      <c r="H19" s="17" t="s">
        <v>22</v>
      </c>
      <c r="I19" s="17" t="s">
        <v>22</v>
      </c>
      <c r="J19" s="17" t="s">
        <v>22</v>
      </c>
      <c r="K19" s="17" t="s">
        <v>22</v>
      </c>
      <c r="L19" s="17" t="s">
        <v>22</v>
      </c>
      <c r="M19" s="13" t="s">
        <v>23</v>
      </c>
      <c r="N19" s="23" t="s">
        <v>38</v>
      </c>
      <c r="O19" s="24">
        <v>1930.8</v>
      </c>
      <c r="P19" s="24">
        <v>1947.5</v>
      </c>
      <c r="Q19" s="24">
        <v>2008.2</v>
      </c>
      <c r="R19" s="24">
        <f t="shared" ref="R19:Y19" si="4">Q19*1.01</f>
        <v>2028.2820000000002</v>
      </c>
      <c r="S19" s="24">
        <f t="shared" si="4"/>
        <v>2048.5648200000001</v>
      </c>
      <c r="T19" s="24">
        <f t="shared" si="4"/>
        <v>2069.0504682000001</v>
      </c>
      <c r="U19" s="24">
        <f t="shared" si="4"/>
        <v>2089.7409728820003</v>
      </c>
      <c r="V19" s="24">
        <f t="shared" si="4"/>
        <v>2110.6383826108204</v>
      </c>
      <c r="W19" s="24">
        <f t="shared" si="4"/>
        <v>2131.7447664369288</v>
      </c>
      <c r="X19" s="24">
        <f t="shared" si="4"/>
        <v>2153.0622141012982</v>
      </c>
      <c r="Y19" s="24">
        <f t="shared" si="4"/>
        <v>2174.592836242311</v>
      </c>
      <c r="Z19" s="24">
        <f>Y19</f>
        <v>2174.592836242311</v>
      </c>
      <c r="AA19" s="5" t="s">
        <v>39</v>
      </c>
    </row>
    <row r="20" spans="1:32" s="5" customFormat="1" ht="15.75" customHeight="1" x14ac:dyDescent="0.25">
      <c r="A20" s="138" t="s">
        <v>40</v>
      </c>
      <c r="B20" s="16" t="s">
        <v>30</v>
      </c>
      <c r="C20" s="17">
        <f t="shared" ref="C20:C31" si="5">SUM(D20:L20)</f>
        <v>5400000</v>
      </c>
      <c r="D20" s="17">
        <f t="shared" ref="D20:L20" si="6">D22</f>
        <v>600000</v>
      </c>
      <c r="E20" s="17">
        <f t="shared" si="6"/>
        <v>600000</v>
      </c>
      <c r="F20" s="17">
        <f t="shared" si="6"/>
        <v>600000</v>
      </c>
      <c r="G20" s="17">
        <f t="shared" si="6"/>
        <v>600000</v>
      </c>
      <c r="H20" s="17">
        <f t="shared" si="6"/>
        <v>600000</v>
      </c>
      <c r="I20" s="17">
        <f t="shared" si="6"/>
        <v>600000</v>
      </c>
      <c r="J20" s="17">
        <f t="shared" si="6"/>
        <v>600000</v>
      </c>
      <c r="K20" s="17">
        <f t="shared" si="6"/>
        <v>600000</v>
      </c>
      <c r="L20" s="17">
        <f t="shared" si="6"/>
        <v>600000</v>
      </c>
      <c r="M20" s="137" t="s">
        <v>23</v>
      </c>
      <c r="N20" s="25" t="s">
        <v>41</v>
      </c>
      <c r="O20" s="144">
        <v>1</v>
      </c>
      <c r="P20" s="144">
        <v>1</v>
      </c>
      <c r="Q20" s="144">
        <v>1</v>
      </c>
      <c r="R20" s="144">
        <v>1</v>
      </c>
      <c r="S20" s="144">
        <v>1</v>
      </c>
      <c r="T20" s="144">
        <v>1</v>
      </c>
      <c r="U20" s="144">
        <v>1</v>
      </c>
      <c r="V20" s="144">
        <v>1</v>
      </c>
      <c r="W20" s="144">
        <v>1</v>
      </c>
      <c r="X20" s="144">
        <v>1</v>
      </c>
      <c r="Y20" s="144">
        <v>1</v>
      </c>
      <c r="Z20" s="144">
        <f>SUM(O20:Y21)</f>
        <v>11</v>
      </c>
    </row>
    <row r="21" spans="1:32" s="27" customFormat="1" ht="69.75" customHeight="1" x14ac:dyDescent="0.25">
      <c r="A21" s="138"/>
      <c r="B21" s="16" t="s">
        <v>33</v>
      </c>
      <c r="C21" s="17">
        <f t="shared" si="5"/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37"/>
      <c r="N21" s="26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B21" s="5"/>
    </row>
    <row r="22" spans="1:32" s="5" customFormat="1" ht="45.75" customHeight="1" x14ac:dyDescent="0.25">
      <c r="A22" s="138"/>
      <c r="B22" s="16" t="s">
        <v>35</v>
      </c>
      <c r="C22" s="17">
        <f t="shared" si="5"/>
        <v>5400000</v>
      </c>
      <c r="D22" s="17">
        <v>600000</v>
      </c>
      <c r="E22" s="17">
        <v>600000</v>
      </c>
      <c r="F22" s="17">
        <v>600000</v>
      </c>
      <c r="G22" s="17">
        <v>600000</v>
      </c>
      <c r="H22" s="17">
        <v>600000</v>
      </c>
      <c r="I22" s="17">
        <v>600000</v>
      </c>
      <c r="J22" s="17">
        <v>600000</v>
      </c>
      <c r="K22" s="17">
        <v>600000</v>
      </c>
      <c r="L22" s="17">
        <v>600000</v>
      </c>
      <c r="M22" s="137"/>
      <c r="N22" s="18" t="s">
        <v>36</v>
      </c>
      <c r="O22" s="19">
        <v>20</v>
      </c>
      <c r="P22" s="19">
        <v>20</v>
      </c>
      <c r="Q22" s="19">
        <v>20</v>
      </c>
      <c r="R22" s="19">
        <v>20</v>
      </c>
      <c r="S22" s="19">
        <v>20</v>
      </c>
      <c r="T22" s="19">
        <v>20</v>
      </c>
      <c r="U22" s="19">
        <v>20</v>
      </c>
      <c r="V22" s="19">
        <v>20</v>
      </c>
      <c r="W22" s="19">
        <v>20</v>
      </c>
      <c r="X22" s="19">
        <v>20</v>
      </c>
      <c r="Y22" s="19">
        <v>20</v>
      </c>
      <c r="Z22" s="19">
        <f>SUM(O22:Y22)</f>
        <v>220</v>
      </c>
    </row>
    <row r="23" spans="1:32" s="5" customFormat="1" ht="17.25" customHeight="1" x14ac:dyDescent="0.25">
      <c r="A23" s="138" t="s">
        <v>42</v>
      </c>
      <c r="B23" s="16" t="s">
        <v>30</v>
      </c>
      <c r="C23" s="17">
        <f t="shared" si="5"/>
        <v>5238923.07</v>
      </c>
      <c r="D23" s="17">
        <f>D24+D25</f>
        <v>231333.33</v>
      </c>
      <c r="E23" s="17">
        <f>E24+E25</f>
        <v>1099794.8700000001</v>
      </c>
      <c r="F23" s="17">
        <f>F24+F25</f>
        <v>1099794.8700000001</v>
      </c>
      <c r="G23" s="17">
        <v>468000</v>
      </c>
      <c r="H23" s="17">
        <v>468000</v>
      </c>
      <c r="I23" s="17">
        <v>468000</v>
      </c>
      <c r="J23" s="17">
        <v>468000</v>
      </c>
      <c r="K23" s="17">
        <v>468000</v>
      </c>
      <c r="L23" s="17">
        <v>468000</v>
      </c>
      <c r="M23" s="139" t="s">
        <v>23</v>
      </c>
      <c r="N23" s="25" t="s">
        <v>43</v>
      </c>
      <c r="O23" s="144">
        <v>1</v>
      </c>
      <c r="P23" s="144">
        <v>1</v>
      </c>
      <c r="Q23" s="144">
        <v>1</v>
      </c>
      <c r="R23" s="144">
        <v>1</v>
      </c>
      <c r="S23" s="144">
        <v>1</v>
      </c>
      <c r="T23" s="144">
        <v>1</v>
      </c>
      <c r="U23" s="144">
        <v>1</v>
      </c>
      <c r="V23" s="144">
        <v>1</v>
      </c>
      <c r="W23" s="144">
        <v>1</v>
      </c>
      <c r="X23" s="144">
        <v>1</v>
      </c>
      <c r="Y23" s="144">
        <v>1</v>
      </c>
      <c r="Z23" s="144">
        <f>SUM(O23:Y24)</f>
        <v>11</v>
      </c>
      <c r="AD23" s="146" t="s">
        <v>44</v>
      </c>
      <c r="AE23" s="147"/>
      <c r="AF23" s="17">
        <f>AF24+AF25</f>
        <v>528461.54</v>
      </c>
    </row>
    <row r="24" spans="1:32" s="5" customFormat="1" ht="65.25" customHeight="1" x14ac:dyDescent="0.25">
      <c r="A24" s="138"/>
      <c r="B24" s="16" t="s">
        <v>33</v>
      </c>
      <c r="C24" s="17">
        <f t="shared" si="5"/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39"/>
      <c r="N24" s="29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F24" s="17">
        <v>412200</v>
      </c>
    </row>
    <row r="25" spans="1:32" s="5" customFormat="1" ht="28.5" customHeight="1" x14ac:dyDescent="0.25">
      <c r="A25" s="138"/>
      <c r="B25" s="16" t="s">
        <v>35</v>
      </c>
      <c r="C25" s="17">
        <f t="shared" si="5"/>
        <v>5238923.07</v>
      </c>
      <c r="D25" s="17">
        <v>231333.33</v>
      </c>
      <c r="E25" s="17">
        <v>1099794.8700000001</v>
      </c>
      <c r="F25" s="17">
        <v>1099794.8700000001</v>
      </c>
      <c r="G25" s="17">
        <v>468000</v>
      </c>
      <c r="H25" s="17">
        <v>468000</v>
      </c>
      <c r="I25" s="17">
        <v>468000</v>
      </c>
      <c r="J25" s="17">
        <v>468000</v>
      </c>
      <c r="K25" s="17">
        <v>468000</v>
      </c>
      <c r="L25" s="17">
        <v>468000</v>
      </c>
      <c r="M25" s="139"/>
      <c r="N25" s="18" t="s">
        <v>36</v>
      </c>
      <c r="O25" s="19">
        <v>25</v>
      </c>
      <c r="P25" s="19">
        <v>25</v>
      </c>
      <c r="Q25" s="19">
        <v>25</v>
      </c>
      <c r="R25" s="19">
        <v>25</v>
      </c>
      <c r="S25" s="19">
        <v>25</v>
      </c>
      <c r="T25" s="19">
        <v>25</v>
      </c>
      <c r="U25" s="19">
        <v>25</v>
      </c>
      <c r="V25" s="19">
        <v>25</v>
      </c>
      <c r="W25" s="19">
        <v>25</v>
      </c>
      <c r="X25" s="19">
        <v>25</v>
      </c>
      <c r="Y25" s="19">
        <v>25</v>
      </c>
      <c r="Z25" s="19">
        <f>SUM(O25:Y25)</f>
        <v>275</v>
      </c>
      <c r="AD25" s="146" t="s">
        <v>45</v>
      </c>
      <c r="AE25" s="147"/>
      <c r="AF25" s="17">
        <v>116261.54</v>
      </c>
    </row>
    <row r="26" spans="1:32" s="5" customFormat="1" ht="16.5" customHeight="1" x14ac:dyDescent="0.25">
      <c r="A26" s="138" t="s">
        <v>46</v>
      </c>
      <c r="B26" s="16" t="s">
        <v>30</v>
      </c>
      <c r="C26" s="17">
        <f t="shared" si="5"/>
        <v>0</v>
      </c>
      <c r="D26" s="17">
        <v>0</v>
      </c>
      <c r="E26" s="17">
        <v>0</v>
      </c>
      <c r="F26" s="17">
        <f t="shared" ref="F26:L26" si="7">F28</f>
        <v>0</v>
      </c>
      <c r="G26" s="17">
        <f t="shared" si="7"/>
        <v>0</v>
      </c>
      <c r="H26" s="17">
        <f t="shared" si="7"/>
        <v>0</v>
      </c>
      <c r="I26" s="17">
        <f t="shared" si="7"/>
        <v>0</v>
      </c>
      <c r="J26" s="17">
        <f t="shared" si="7"/>
        <v>0</v>
      </c>
      <c r="K26" s="17">
        <f t="shared" si="7"/>
        <v>0</v>
      </c>
      <c r="L26" s="17">
        <f t="shared" si="7"/>
        <v>0</v>
      </c>
      <c r="M26" s="139" t="s">
        <v>23</v>
      </c>
      <c r="N26" s="25" t="s">
        <v>43</v>
      </c>
      <c r="O26" s="144">
        <v>1</v>
      </c>
      <c r="P26" s="144">
        <v>1</v>
      </c>
      <c r="Q26" s="144">
        <v>1</v>
      </c>
      <c r="R26" s="144">
        <v>1</v>
      </c>
      <c r="S26" s="144">
        <v>1</v>
      </c>
      <c r="T26" s="144">
        <v>1</v>
      </c>
      <c r="U26" s="144">
        <v>1</v>
      </c>
      <c r="V26" s="144">
        <v>1</v>
      </c>
      <c r="W26" s="144">
        <v>1</v>
      </c>
      <c r="X26" s="144">
        <v>1</v>
      </c>
      <c r="Y26" s="144">
        <v>1</v>
      </c>
      <c r="Z26" s="144">
        <f>SUM(O26:Y27)</f>
        <v>11</v>
      </c>
      <c r="AD26" s="146" t="s">
        <v>44</v>
      </c>
      <c r="AE26" s="147"/>
      <c r="AF26" s="17">
        <f>AF27+AF28</f>
        <v>528461.54</v>
      </c>
    </row>
    <row r="27" spans="1:32" s="5" customFormat="1" ht="65.25" customHeight="1" x14ac:dyDescent="0.25">
      <c r="A27" s="138"/>
      <c r="B27" s="16" t="s">
        <v>33</v>
      </c>
      <c r="C27" s="17">
        <f t="shared" si="5"/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39"/>
      <c r="N27" s="29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F27" s="17">
        <v>412200</v>
      </c>
    </row>
    <row r="28" spans="1:32" s="5" customFormat="1" ht="27.75" customHeight="1" x14ac:dyDescent="0.25">
      <c r="A28" s="138"/>
      <c r="B28" s="16" t="s">
        <v>35</v>
      </c>
      <c r="C28" s="17">
        <f t="shared" si="5"/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39"/>
      <c r="N28" s="18" t="s">
        <v>36</v>
      </c>
      <c r="O28" s="19">
        <v>25</v>
      </c>
      <c r="P28" s="19">
        <v>25</v>
      </c>
      <c r="Q28" s="19">
        <v>25</v>
      </c>
      <c r="R28" s="19">
        <v>25</v>
      </c>
      <c r="S28" s="19">
        <v>25</v>
      </c>
      <c r="T28" s="19">
        <v>25</v>
      </c>
      <c r="U28" s="19">
        <v>25</v>
      </c>
      <c r="V28" s="19">
        <v>25</v>
      </c>
      <c r="W28" s="19">
        <v>25</v>
      </c>
      <c r="X28" s="19">
        <v>25</v>
      </c>
      <c r="Y28" s="19">
        <v>25</v>
      </c>
      <c r="Z28" s="19">
        <f>SUM(O28:Y28)</f>
        <v>275</v>
      </c>
      <c r="AD28" s="146" t="s">
        <v>45</v>
      </c>
      <c r="AE28" s="147"/>
      <c r="AF28" s="17">
        <v>116261.54</v>
      </c>
    </row>
    <row r="29" spans="1:32" s="5" customFormat="1" ht="25.5" customHeight="1" x14ac:dyDescent="0.25">
      <c r="A29" s="138" t="s">
        <v>47</v>
      </c>
      <c r="B29" s="16" t="s">
        <v>30</v>
      </c>
      <c r="C29" s="17">
        <f t="shared" si="5"/>
        <v>90000</v>
      </c>
      <c r="D29" s="17">
        <f>D31</f>
        <v>90000</v>
      </c>
      <c r="E29" s="17">
        <v>0</v>
      </c>
      <c r="F29" s="17">
        <f t="shared" ref="F29:L29" si="8">F31</f>
        <v>0</v>
      </c>
      <c r="G29" s="17">
        <f t="shared" si="8"/>
        <v>0</v>
      </c>
      <c r="H29" s="17">
        <f t="shared" si="8"/>
        <v>0</v>
      </c>
      <c r="I29" s="17">
        <f t="shared" si="8"/>
        <v>0</v>
      </c>
      <c r="J29" s="17">
        <f t="shared" si="8"/>
        <v>0</v>
      </c>
      <c r="K29" s="17">
        <f t="shared" si="8"/>
        <v>0</v>
      </c>
      <c r="L29" s="17">
        <f t="shared" si="8"/>
        <v>0</v>
      </c>
      <c r="M29" s="137" t="s">
        <v>23</v>
      </c>
      <c r="N29" s="25" t="s">
        <v>48</v>
      </c>
      <c r="O29" s="144" t="s">
        <v>49</v>
      </c>
      <c r="P29" s="144" t="s">
        <v>49</v>
      </c>
      <c r="Q29" s="144" t="s">
        <v>49</v>
      </c>
      <c r="R29" s="144" t="s">
        <v>49</v>
      </c>
      <c r="S29" s="144" t="s">
        <v>49</v>
      </c>
      <c r="T29" s="144" t="s">
        <v>49</v>
      </c>
      <c r="U29" s="144" t="s">
        <v>49</v>
      </c>
      <c r="V29" s="144" t="s">
        <v>49</v>
      </c>
      <c r="W29" s="144" t="s">
        <v>49</v>
      </c>
      <c r="X29" s="144" t="s">
        <v>49</v>
      </c>
      <c r="Y29" s="144" t="s">
        <v>49</v>
      </c>
      <c r="Z29" s="144" t="str">
        <f>Y29</f>
        <v>да</v>
      </c>
    </row>
    <row r="30" spans="1:32" s="5" customFormat="1" ht="25.5" customHeight="1" x14ac:dyDescent="0.25">
      <c r="A30" s="138"/>
      <c r="B30" s="16" t="s">
        <v>33</v>
      </c>
      <c r="C30" s="17">
        <f t="shared" si="5"/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37"/>
      <c r="N30" s="26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32" s="5" customFormat="1" ht="25.5" customHeight="1" x14ac:dyDescent="0.25">
      <c r="A31" s="138"/>
      <c r="B31" s="16" t="s">
        <v>35</v>
      </c>
      <c r="C31" s="17">
        <f t="shared" si="5"/>
        <v>90000</v>
      </c>
      <c r="D31" s="17">
        <v>90000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37"/>
      <c r="N31" s="26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spans="1:32" s="5" customFormat="1" ht="38.25" customHeight="1" x14ac:dyDescent="0.25">
      <c r="A32" s="31" t="s">
        <v>50</v>
      </c>
      <c r="B32" s="17" t="s">
        <v>22</v>
      </c>
      <c r="C32" s="17" t="s">
        <v>22</v>
      </c>
      <c r="D32" s="17" t="s">
        <v>22</v>
      </c>
      <c r="E32" s="17" t="s">
        <v>22</v>
      </c>
      <c r="F32" s="17" t="s">
        <v>22</v>
      </c>
      <c r="G32" s="17" t="s">
        <v>22</v>
      </c>
      <c r="H32" s="17" t="s">
        <v>22</v>
      </c>
      <c r="I32" s="17" t="s">
        <v>22</v>
      </c>
      <c r="J32" s="17" t="s">
        <v>22</v>
      </c>
      <c r="K32" s="17" t="s">
        <v>22</v>
      </c>
      <c r="L32" s="17" t="s">
        <v>22</v>
      </c>
      <c r="M32" s="13" t="s">
        <v>23</v>
      </c>
      <c r="N32" s="26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spans="1:31" s="5" customFormat="1" ht="33" customHeight="1" x14ac:dyDescent="0.25">
      <c r="A33" s="149" t="s">
        <v>51</v>
      </c>
      <c r="B33" s="16" t="s">
        <v>30</v>
      </c>
      <c r="C33" s="17">
        <f t="shared" ref="C33:L33" si="9">C34+C35</f>
        <v>300000</v>
      </c>
      <c r="D33" s="17">
        <f t="shared" si="9"/>
        <v>300000</v>
      </c>
      <c r="E33" s="17">
        <f t="shared" si="9"/>
        <v>0</v>
      </c>
      <c r="F33" s="17">
        <f t="shared" si="9"/>
        <v>0</v>
      </c>
      <c r="G33" s="17">
        <f t="shared" si="9"/>
        <v>0</v>
      </c>
      <c r="H33" s="17">
        <f t="shared" si="9"/>
        <v>0</v>
      </c>
      <c r="I33" s="17">
        <f t="shared" si="9"/>
        <v>0</v>
      </c>
      <c r="J33" s="17">
        <f t="shared" si="9"/>
        <v>0</v>
      </c>
      <c r="K33" s="17">
        <f t="shared" si="9"/>
        <v>0</v>
      </c>
      <c r="L33" s="17">
        <f t="shared" si="9"/>
        <v>0</v>
      </c>
      <c r="M33" s="139" t="s">
        <v>52</v>
      </c>
      <c r="N33" s="26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spans="1:31" s="5" customFormat="1" ht="42.75" customHeight="1" x14ac:dyDescent="0.25">
      <c r="A34" s="149"/>
      <c r="B34" s="16" t="s">
        <v>33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39"/>
      <c r="N34" s="26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 spans="1:31" s="5" customFormat="1" ht="45" customHeight="1" x14ac:dyDescent="0.25">
      <c r="A35" s="149"/>
      <c r="B35" s="16" t="s">
        <v>35</v>
      </c>
      <c r="C35" s="17">
        <v>300000</v>
      </c>
      <c r="D35" s="17">
        <v>300000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39"/>
      <c r="N35" s="26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31" s="5" customFormat="1" ht="33" customHeight="1" x14ac:dyDescent="0.25">
      <c r="A36" s="149" t="s">
        <v>53</v>
      </c>
      <c r="B36" s="16" t="s">
        <v>30</v>
      </c>
      <c r="C36" s="17">
        <f>SUM(D36:L36)</f>
        <v>197650909.54409489</v>
      </c>
      <c r="D36" s="17">
        <f t="shared" ref="D36:L36" si="10">D37+D38</f>
        <v>28193369.25</v>
      </c>
      <c r="E36" s="17">
        <f t="shared" si="10"/>
        <v>2500000</v>
      </c>
      <c r="F36" s="17">
        <f t="shared" si="10"/>
        <v>2500000</v>
      </c>
      <c r="G36" s="17">
        <f t="shared" si="10"/>
        <v>25839955.560000002</v>
      </c>
      <c r="H36" s="17">
        <f t="shared" si="10"/>
        <v>26436928.53796</v>
      </c>
      <c r="I36" s="17">
        <f t="shared" si="10"/>
        <v>27058350.989616361</v>
      </c>
      <c r="J36" s="17">
        <f t="shared" si="10"/>
        <v>27698738.530455418</v>
      </c>
      <c r="K36" s="17">
        <f t="shared" si="10"/>
        <v>28365094.452618718</v>
      </c>
      <c r="L36" s="17">
        <f t="shared" si="10"/>
        <v>29058472.223444406</v>
      </c>
      <c r="M36" s="139" t="s">
        <v>23</v>
      </c>
      <c r="N36" s="18" t="s">
        <v>54</v>
      </c>
      <c r="O36" s="19">
        <f t="shared" ref="O36:Y36" si="11">O51</f>
        <v>1</v>
      </c>
      <c r="P36" s="19">
        <f t="shared" si="11"/>
        <v>1</v>
      </c>
      <c r="Q36" s="19">
        <f t="shared" si="11"/>
        <v>1</v>
      </c>
      <c r="R36" s="19">
        <f t="shared" si="11"/>
        <v>1</v>
      </c>
      <c r="S36" s="19">
        <f t="shared" si="11"/>
        <v>1</v>
      </c>
      <c r="T36" s="19">
        <f t="shared" si="11"/>
        <v>1</v>
      </c>
      <c r="U36" s="19">
        <f t="shared" si="11"/>
        <v>1</v>
      </c>
      <c r="V36" s="19">
        <f t="shared" si="11"/>
        <v>1</v>
      </c>
      <c r="W36" s="19">
        <f t="shared" si="11"/>
        <v>1</v>
      </c>
      <c r="X36" s="19">
        <f t="shared" si="11"/>
        <v>1</v>
      </c>
      <c r="Y36" s="19">
        <f t="shared" si="11"/>
        <v>1</v>
      </c>
      <c r="Z36" s="19">
        <f>SUM(O36:Y36)</f>
        <v>11</v>
      </c>
      <c r="AA36" s="27" t="e">
        <f>#REF!+#REF!+#REF!</f>
        <v>#REF!</v>
      </c>
    </row>
    <row r="37" spans="1:31" s="5" customFormat="1" ht="72.75" customHeight="1" x14ac:dyDescent="0.25">
      <c r="A37" s="149"/>
      <c r="B37" s="16" t="s">
        <v>33</v>
      </c>
      <c r="C37" s="17">
        <f>C52+C55+C58+C61+C64+C67+C70+C73+C76+C79+C82+C85+C88+C91+C94+C97+C100+C103+C106+C109</f>
        <v>78564100</v>
      </c>
      <c r="D37" s="17">
        <f>D40+D43+D46+D52+D88+D91</f>
        <v>14644500</v>
      </c>
      <c r="E37" s="17">
        <f t="shared" ref="E37:L37" si="12">E40+E43+E46+E52+E88+E91</f>
        <v>0</v>
      </c>
      <c r="F37" s="17">
        <f t="shared" si="12"/>
        <v>0</v>
      </c>
      <c r="G37" s="17">
        <f t="shared" si="12"/>
        <v>11260000</v>
      </c>
      <c r="H37" s="17">
        <f t="shared" si="12"/>
        <v>11260000</v>
      </c>
      <c r="I37" s="17">
        <f t="shared" si="12"/>
        <v>11260000</v>
      </c>
      <c r="J37" s="17">
        <f t="shared" si="12"/>
        <v>11260000</v>
      </c>
      <c r="K37" s="17">
        <f t="shared" si="12"/>
        <v>11260000</v>
      </c>
      <c r="L37" s="17">
        <f t="shared" si="12"/>
        <v>11260000</v>
      </c>
      <c r="M37" s="139"/>
      <c r="N37" s="21" t="s">
        <v>55</v>
      </c>
      <c r="O37" s="19" t="e">
        <f t="shared" ref="O37:Y37" si="13">O54+O57+O60+O63+O66+O69+O72</f>
        <v>#REF!</v>
      </c>
      <c r="P37" s="19" t="e">
        <f t="shared" si="13"/>
        <v>#REF!</v>
      </c>
      <c r="Q37" s="19">
        <f t="shared" si="13"/>
        <v>23.518518533333335</v>
      </c>
      <c r="R37" s="19">
        <f t="shared" si="13"/>
        <v>7.6666666666666661</v>
      </c>
      <c r="S37" s="19">
        <f t="shared" si="13"/>
        <v>7.6666666666666661</v>
      </c>
      <c r="T37" s="19">
        <f t="shared" si="13"/>
        <v>31.098666666666666</v>
      </c>
      <c r="U37" s="19">
        <f t="shared" si="13"/>
        <v>31.485378666666666</v>
      </c>
      <c r="V37" s="19">
        <f t="shared" si="13"/>
        <v>31.887945858666669</v>
      </c>
      <c r="W37" s="19">
        <f t="shared" si="13"/>
        <v>32.296797026346667</v>
      </c>
      <c r="X37" s="19">
        <f t="shared" si="13"/>
        <v>32.722002240733872</v>
      </c>
      <c r="Y37" s="19">
        <f t="shared" si="13"/>
        <v>33.164215663696552</v>
      </c>
      <c r="Z37" s="19" t="e">
        <f>SUM(O37:Y37)</f>
        <v>#REF!</v>
      </c>
      <c r="AA37" s="27" t="e">
        <f>#REF!+#REF!+#REF!</f>
        <v>#REF!</v>
      </c>
      <c r="AE37" s="17"/>
    </row>
    <row r="38" spans="1:31" s="5" customFormat="1" ht="42" customHeight="1" x14ac:dyDescent="0.25">
      <c r="A38" s="149"/>
      <c r="B38" s="16" t="s">
        <v>35</v>
      </c>
      <c r="C38" s="17">
        <f>C53+C56+C59+C62+C65+C68+C71+C74+C77+C80+C83+C86+C89+C92+C95+C98+C101+C104+C107+C110</f>
        <v>89819276.213514045</v>
      </c>
      <c r="D38" s="17">
        <f>D41+D44+D47+D50+D53+D89+D92</f>
        <v>13548869.25</v>
      </c>
      <c r="E38" s="17">
        <f t="shared" ref="E38:L38" si="14">E53+E56+E59+E62+E65+E68+E71+E74+E77+E80+E83+E86+E89+E92+E95+E98+E101+E104+E107+E110+E113+E116+E119+E122+E125+E128</f>
        <v>2500000</v>
      </c>
      <c r="F38" s="17">
        <f t="shared" si="14"/>
        <v>2500000</v>
      </c>
      <c r="G38" s="17">
        <f t="shared" si="14"/>
        <v>14579955.560000001</v>
      </c>
      <c r="H38" s="17">
        <f t="shared" si="14"/>
        <v>15176928.53796</v>
      </c>
      <c r="I38" s="17">
        <f t="shared" si="14"/>
        <v>15798350.989616361</v>
      </c>
      <c r="J38" s="17">
        <f t="shared" si="14"/>
        <v>16438738.530455416</v>
      </c>
      <c r="K38" s="17">
        <f t="shared" si="14"/>
        <v>17105094.452618718</v>
      </c>
      <c r="L38" s="17">
        <f t="shared" si="14"/>
        <v>17798472.223444406</v>
      </c>
      <c r="M38" s="139"/>
      <c r="N38" s="32" t="s">
        <v>56</v>
      </c>
      <c r="O38" s="33">
        <v>5</v>
      </c>
      <c r="P38" s="33">
        <v>5</v>
      </c>
      <c r="Q38" s="33">
        <v>5</v>
      </c>
      <c r="R38" s="33">
        <v>5</v>
      </c>
      <c r="S38" s="33">
        <v>5</v>
      </c>
      <c r="T38" s="33">
        <v>5</v>
      </c>
      <c r="U38" s="33">
        <v>5</v>
      </c>
      <c r="V38" s="33">
        <v>5</v>
      </c>
      <c r="W38" s="33">
        <v>5</v>
      </c>
      <c r="X38" s="33">
        <v>5</v>
      </c>
      <c r="Y38" s="33">
        <v>5</v>
      </c>
      <c r="Z38" s="33">
        <f>SUM(O38:Y38)</f>
        <v>55</v>
      </c>
      <c r="AA38" s="27" t="e">
        <f>#REF!+#REF!+#REF!</f>
        <v>#REF!</v>
      </c>
    </row>
    <row r="39" spans="1:31" s="5" customFormat="1" ht="75" customHeight="1" x14ac:dyDescent="0.25">
      <c r="A39" s="138" t="s">
        <v>57</v>
      </c>
      <c r="B39" s="16" t="s">
        <v>30</v>
      </c>
      <c r="C39" s="17">
        <f t="shared" ref="C39:C102" si="15">SUM(D39:L39)</f>
        <v>135179105.07106966</v>
      </c>
      <c r="D39" s="17">
        <f t="shared" ref="D39:L39" si="16">D40+D41</f>
        <v>16342531.140000001</v>
      </c>
      <c r="E39" s="17">
        <f t="shared" si="16"/>
        <v>800000</v>
      </c>
      <c r="F39" s="17">
        <f t="shared" si="16"/>
        <v>800000</v>
      </c>
      <c r="G39" s="17">
        <f t="shared" si="16"/>
        <v>18743288.859999999</v>
      </c>
      <c r="H39" s="17">
        <f t="shared" si="16"/>
        <v>19047261.837960001</v>
      </c>
      <c r="I39" s="17">
        <f t="shared" si="16"/>
        <v>19363756.289616361</v>
      </c>
      <c r="J39" s="17">
        <f t="shared" si="16"/>
        <v>19686802.056455415</v>
      </c>
      <c r="K39" s="17">
        <f t="shared" si="16"/>
        <v>20022896.865552716</v>
      </c>
      <c r="L39" s="17">
        <f t="shared" si="16"/>
        <v>20372568.02148515</v>
      </c>
      <c r="M39" s="137" t="s">
        <v>23</v>
      </c>
      <c r="N39" s="26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31" s="5" customFormat="1" ht="75" customHeight="1" x14ac:dyDescent="0.25">
      <c r="A40" s="138"/>
      <c r="B40" s="16" t="s">
        <v>33</v>
      </c>
      <c r="C40" s="17">
        <f t="shared" si="15"/>
        <v>82204500</v>
      </c>
      <c r="D40" s="17">
        <v>14644500</v>
      </c>
      <c r="E40" s="17">
        <f t="shared" ref="E40:L40" si="17">E58+E76+E100</f>
        <v>0</v>
      </c>
      <c r="F40" s="17">
        <f t="shared" si="17"/>
        <v>0</v>
      </c>
      <c r="G40" s="17">
        <f t="shared" si="17"/>
        <v>11260000</v>
      </c>
      <c r="H40" s="17">
        <f t="shared" si="17"/>
        <v>11260000</v>
      </c>
      <c r="I40" s="17">
        <f t="shared" si="17"/>
        <v>11260000</v>
      </c>
      <c r="J40" s="17">
        <f t="shared" si="17"/>
        <v>11260000</v>
      </c>
      <c r="K40" s="17">
        <f t="shared" si="17"/>
        <v>11260000</v>
      </c>
      <c r="L40" s="17">
        <f t="shared" si="17"/>
        <v>11260000</v>
      </c>
      <c r="M40" s="137"/>
      <c r="N40" s="26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31" s="5" customFormat="1" ht="75" customHeight="1" x14ac:dyDescent="0.25">
      <c r="A41" s="138"/>
      <c r="B41" s="16" t="s">
        <v>35</v>
      </c>
      <c r="C41" s="17">
        <f t="shared" si="15"/>
        <v>52974605.071069643</v>
      </c>
      <c r="D41" s="17">
        <v>1698031.14</v>
      </c>
      <c r="E41" s="17">
        <v>800000</v>
      </c>
      <c r="F41" s="17">
        <v>800000</v>
      </c>
      <c r="G41" s="17">
        <f t="shared" ref="G41:L41" si="18">G59+G77+G101+103333.3</f>
        <v>7483288.8600000003</v>
      </c>
      <c r="H41" s="17">
        <f t="shared" si="18"/>
        <v>7787261.8379600001</v>
      </c>
      <c r="I41" s="17">
        <f t="shared" si="18"/>
        <v>8103756.2896163603</v>
      </c>
      <c r="J41" s="17">
        <f t="shared" si="18"/>
        <v>8426802.0564554147</v>
      </c>
      <c r="K41" s="17">
        <f t="shared" si="18"/>
        <v>8762896.865552716</v>
      </c>
      <c r="L41" s="17">
        <f t="shared" si="18"/>
        <v>9112568.0214851517</v>
      </c>
      <c r="M41" s="137"/>
      <c r="N41" s="26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31" s="5" customFormat="1" ht="108.75" customHeight="1" x14ac:dyDescent="0.25">
      <c r="A42" s="138" t="s">
        <v>58</v>
      </c>
      <c r="B42" s="16" t="s">
        <v>30</v>
      </c>
      <c r="C42" s="17">
        <f t="shared" si="15"/>
        <v>663297.54624000005</v>
      </c>
      <c r="D42" s="17">
        <f t="shared" ref="D42:L42" si="19">D43+D44</f>
        <v>0</v>
      </c>
      <c r="E42" s="17">
        <f t="shared" si="19"/>
        <v>0</v>
      </c>
      <c r="F42" s="17">
        <f t="shared" si="19"/>
        <v>0</v>
      </c>
      <c r="G42" s="17">
        <f t="shared" si="19"/>
        <v>100000</v>
      </c>
      <c r="H42" s="17">
        <f t="shared" si="19"/>
        <v>104000</v>
      </c>
      <c r="I42" s="17">
        <f t="shared" si="19"/>
        <v>108160</v>
      </c>
      <c r="J42" s="17">
        <f t="shared" si="19"/>
        <v>112486.39999999999</v>
      </c>
      <c r="K42" s="17">
        <f t="shared" si="19"/>
        <v>116985.856</v>
      </c>
      <c r="L42" s="17">
        <f t="shared" si="19"/>
        <v>121665.29024</v>
      </c>
      <c r="M42" s="137" t="s">
        <v>23</v>
      </c>
      <c r="N42" s="26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31" s="5" customFormat="1" ht="108.75" customHeight="1" x14ac:dyDescent="0.25">
      <c r="A43" s="138"/>
      <c r="B43" s="16" t="s">
        <v>33</v>
      </c>
      <c r="C43" s="17">
        <f t="shared" si="15"/>
        <v>0</v>
      </c>
      <c r="D43" s="17">
        <f t="shared" ref="D43:L43" si="20">D55+D61+D64+D70+D73+D94+D97+D103+D106+D109</f>
        <v>0</v>
      </c>
      <c r="E43" s="17">
        <f t="shared" si="20"/>
        <v>0</v>
      </c>
      <c r="F43" s="17">
        <f t="shared" si="20"/>
        <v>0</v>
      </c>
      <c r="G43" s="17">
        <f t="shared" si="20"/>
        <v>0</v>
      </c>
      <c r="H43" s="17">
        <f t="shared" si="20"/>
        <v>0</v>
      </c>
      <c r="I43" s="17">
        <f t="shared" si="20"/>
        <v>0</v>
      </c>
      <c r="J43" s="17">
        <f t="shared" si="20"/>
        <v>0</v>
      </c>
      <c r="K43" s="17">
        <f t="shared" si="20"/>
        <v>0</v>
      </c>
      <c r="L43" s="17">
        <f t="shared" si="20"/>
        <v>0</v>
      </c>
      <c r="M43" s="137"/>
      <c r="N43" s="26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31" s="5" customFormat="1" ht="138" customHeight="1" x14ac:dyDescent="0.25">
      <c r="A44" s="138"/>
      <c r="B44" s="16" t="s">
        <v>35</v>
      </c>
      <c r="C44" s="17">
        <f t="shared" si="15"/>
        <v>663297.54624000005</v>
      </c>
      <c r="D44" s="17">
        <f t="shared" ref="D44:L44" si="21">D56+D62+D65+D71+D74+D95+D98+D104+D107+D110</f>
        <v>0</v>
      </c>
      <c r="E44" s="17">
        <f t="shared" si="21"/>
        <v>0</v>
      </c>
      <c r="F44" s="17">
        <f t="shared" si="21"/>
        <v>0</v>
      </c>
      <c r="G44" s="17">
        <f t="shared" si="21"/>
        <v>100000</v>
      </c>
      <c r="H44" s="17">
        <f t="shared" si="21"/>
        <v>104000</v>
      </c>
      <c r="I44" s="17">
        <f t="shared" si="21"/>
        <v>108160</v>
      </c>
      <c r="J44" s="17">
        <f t="shared" si="21"/>
        <v>112486.39999999999</v>
      </c>
      <c r="K44" s="17">
        <f t="shared" si="21"/>
        <v>116985.856</v>
      </c>
      <c r="L44" s="17">
        <f t="shared" si="21"/>
        <v>121665.29024</v>
      </c>
      <c r="M44" s="137"/>
      <c r="N44" s="26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31" s="5" customFormat="1" ht="121.5" customHeight="1" x14ac:dyDescent="0.25">
      <c r="A45" s="138" t="s">
        <v>59</v>
      </c>
      <c r="B45" s="16" t="s">
        <v>30</v>
      </c>
      <c r="C45" s="17">
        <f t="shared" si="15"/>
        <v>34453106.669860847</v>
      </c>
      <c r="D45" s="17">
        <f t="shared" ref="D45:L45" si="22">D46+D47</f>
        <v>10850838.109999999</v>
      </c>
      <c r="E45" s="17">
        <f t="shared" si="22"/>
        <v>500000</v>
      </c>
      <c r="F45" s="17">
        <f t="shared" si="22"/>
        <v>500000</v>
      </c>
      <c r="G45" s="17">
        <f t="shared" si="22"/>
        <v>3400000</v>
      </c>
      <c r="H45" s="17">
        <f t="shared" si="22"/>
        <v>3539000</v>
      </c>
      <c r="I45" s="17">
        <f t="shared" si="22"/>
        <v>3683686</v>
      </c>
      <c r="J45" s="17">
        <f t="shared" si="22"/>
        <v>3834290.7320000003</v>
      </c>
      <c r="K45" s="17">
        <f t="shared" si="22"/>
        <v>3991056.4595440007</v>
      </c>
      <c r="L45" s="17">
        <f t="shared" si="22"/>
        <v>4154235.3683168483</v>
      </c>
      <c r="M45" s="137" t="s">
        <v>23</v>
      </c>
      <c r="N45" s="26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31" s="5" customFormat="1" ht="121.5" customHeight="1" x14ac:dyDescent="0.25">
      <c r="A46" s="138"/>
      <c r="B46" s="16" t="s">
        <v>33</v>
      </c>
      <c r="C46" s="17">
        <f t="shared" si="15"/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37"/>
      <c r="N46" s="26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31" s="5" customFormat="1" ht="121.5" customHeight="1" x14ac:dyDescent="0.25">
      <c r="A47" s="138"/>
      <c r="B47" s="16" t="s">
        <v>35</v>
      </c>
      <c r="C47" s="17">
        <f t="shared" si="15"/>
        <v>34453106.669860847</v>
      </c>
      <c r="D47" s="17">
        <v>10850838.109999999</v>
      </c>
      <c r="E47" s="17">
        <f>E68+E80+E119+E128</f>
        <v>500000</v>
      </c>
      <c r="F47" s="17">
        <f>F68+F80+F119+F128</f>
        <v>500000</v>
      </c>
      <c r="G47" s="17">
        <f t="shared" ref="G47:L47" si="23">G68+G80+G119+G128+G50</f>
        <v>3400000</v>
      </c>
      <c r="H47" s="17">
        <f t="shared" si="23"/>
        <v>3539000</v>
      </c>
      <c r="I47" s="17">
        <f t="shared" si="23"/>
        <v>3683686</v>
      </c>
      <c r="J47" s="17">
        <f t="shared" si="23"/>
        <v>3834290.7320000003</v>
      </c>
      <c r="K47" s="17">
        <f t="shared" si="23"/>
        <v>3991056.4595440007</v>
      </c>
      <c r="L47" s="17">
        <f t="shared" si="23"/>
        <v>4154235.3683168483</v>
      </c>
      <c r="M47" s="137"/>
      <c r="N47" s="26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31" s="5" customFormat="1" ht="43.5" hidden="1" customHeight="1" x14ac:dyDescent="0.25">
      <c r="A48" s="154" t="s">
        <v>60</v>
      </c>
      <c r="B48" s="34" t="s">
        <v>30</v>
      </c>
      <c r="C48" s="28">
        <f t="shared" si="15"/>
        <v>0</v>
      </c>
      <c r="D48" s="28">
        <f t="shared" ref="D48:L48" si="24">D49+D50</f>
        <v>0</v>
      </c>
      <c r="E48" s="28">
        <f t="shared" si="24"/>
        <v>0</v>
      </c>
      <c r="F48" s="28">
        <f t="shared" si="24"/>
        <v>0</v>
      </c>
      <c r="G48" s="28">
        <f t="shared" si="24"/>
        <v>0</v>
      </c>
      <c r="H48" s="28">
        <f t="shared" si="24"/>
        <v>0</v>
      </c>
      <c r="I48" s="28">
        <f t="shared" si="24"/>
        <v>0</v>
      </c>
      <c r="J48" s="28">
        <f t="shared" si="24"/>
        <v>0</v>
      </c>
      <c r="K48" s="28">
        <f t="shared" si="24"/>
        <v>0</v>
      </c>
      <c r="L48" s="28">
        <f t="shared" si="24"/>
        <v>0</v>
      </c>
      <c r="M48" s="137" t="s">
        <v>23</v>
      </c>
      <c r="N48" s="25" t="s">
        <v>61</v>
      </c>
      <c r="O48" s="153">
        <v>1</v>
      </c>
      <c r="P48" s="153">
        <v>1</v>
      </c>
      <c r="Q48" s="153">
        <v>1</v>
      </c>
      <c r="R48" s="153">
        <v>1</v>
      </c>
      <c r="S48" s="153">
        <v>1</v>
      </c>
      <c r="T48" s="153">
        <v>1</v>
      </c>
      <c r="U48" s="153">
        <v>1</v>
      </c>
      <c r="V48" s="153">
        <v>1</v>
      </c>
      <c r="W48" s="153">
        <v>1</v>
      </c>
      <c r="X48" s="153">
        <v>1</v>
      </c>
      <c r="Y48" s="153">
        <v>1</v>
      </c>
      <c r="Z48" s="153">
        <f>SUM(O48:Y50)</f>
        <v>11</v>
      </c>
    </row>
    <row r="49" spans="1:27" s="5" customFormat="1" ht="95.25" hidden="1" customHeight="1" x14ac:dyDescent="0.25">
      <c r="A49" s="154"/>
      <c r="B49" s="34" t="s">
        <v>33</v>
      </c>
      <c r="C49" s="28">
        <f t="shared" si="15"/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137"/>
      <c r="N49" s="26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</row>
    <row r="50" spans="1:27" s="5" customFormat="1" ht="115.5" hidden="1" customHeight="1" x14ac:dyDescent="0.25">
      <c r="A50" s="154"/>
      <c r="B50" s="34" t="s">
        <v>35</v>
      </c>
      <c r="C50" s="28">
        <f t="shared" si="15"/>
        <v>0</v>
      </c>
      <c r="D50" s="28">
        <f>D83+D86+D113+D116+D122+D125</f>
        <v>0</v>
      </c>
      <c r="E50" s="28">
        <f>E83+E86+E113+E116+E122+E125</f>
        <v>0</v>
      </c>
      <c r="F50" s="28">
        <f>F83+F86+F113+F116+F122+F125</f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137"/>
      <c r="N50" s="29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</row>
    <row r="51" spans="1:27" s="5" customFormat="1" ht="21.75" customHeight="1" x14ac:dyDescent="0.25">
      <c r="A51" s="149" t="s">
        <v>62</v>
      </c>
      <c r="B51" s="16" t="s">
        <v>30</v>
      </c>
      <c r="C51" s="17">
        <f t="shared" si="15"/>
        <v>0</v>
      </c>
      <c r="D51" s="17">
        <f t="shared" ref="D51:L51" si="25">D52+D53</f>
        <v>0</v>
      </c>
      <c r="E51" s="17">
        <f t="shared" si="25"/>
        <v>0</v>
      </c>
      <c r="F51" s="17">
        <f t="shared" si="25"/>
        <v>0</v>
      </c>
      <c r="G51" s="17">
        <f t="shared" si="25"/>
        <v>0</v>
      </c>
      <c r="H51" s="17">
        <f t="shared" si="25"/>
        <v>0</v>
      </c>
      <c r="I51" s="17">
        <f t="shared" si="25"/>
        <v>0</v>
      </c>
      <c r="J51" s="17">
        <f t="shared" si="25"/>
        <v>0</v>
      </c>
      <c r="K51" s="17">
        <f t="shared" si="25"/>
        <v>0</v>
      </c>
      <c r="L51" s="17">
        <f t="shared" si="25"/>
        <v>0</v>
      </c>
      <c r="M51" s="137" t="s">
        <v>23</v>
      </c>
      <c r="N51" s="18" t="s">
        <v>54</v>
      </c>
      <c r="O51" s="19">
        <v>1</v>
      </c>
      <c r="P51" s="19">
        <v>1</v>
      </c>
      <c r="Q51" s="19">
        <v>1</v>
      </c>
      <c r="R51" s="19">
        <v>1</v>
      </c>
      <c r="S51" s="19">
        <v>1</v>
      </c>
      <c r="T51" s="19">
        <v>1</v>
      </c>
      <c r="U51" s="19">
        <v>1</v>
      </c>
      <c r="V51" s="19">
        <v>1</v>
      </c>
      <c r="W51" s="19">
        <v>1</v>
      </c>
      <c r="X51" s="19">
        <v>1</v>
      </c>
      <c r="Y51" s="19">
        <v>1</v>
      </c>
      <c r="Z51" s="19">
        <f>SUM(O51:Y51)</f>
        <v>11</v>
      </c>
    </row>
    <row r="52" spans="1:27" s="5" customFormat="1" ht="69" customHeight="1" x14ac:dyDescent="0.25">
      <c r="A52" s="149"/>
      <c r="B52" s="16" t="s">
        <v>33</v>
      </c>
      <c r="C52" s="17">
        <f t="shared" si="15"/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37"/>
      <c r="N52" s="18" t="s">
        <v>63</v>
      </c>
      <c r="O52" s="19">
        <v>1</v>
      </c>
      <c r="P52" s="19">
        <v>1</v>
      </c>
      <c r="Q52" s="19">
        <v>1</v>
      </c>
      <c r="R52" s="19">
        <v>1</v>
      </c>
      <c r="S52" s="19">
        <v>1</v>
      </c>
      <c r="T52" s="19">
        <v>1</v>
      </c>
      <c r="U52" s="19">
        <v>1</v>
      </c>
      <c r="V52" s="19">
        <v>1</v>
      </c>
      <c r="W52" s="19">
        <v>1</v>
      </c>
      <c r="X52" s="19">
        <v>1</v>
      </c>
      <c r="Y52" s="19">
        <v>1</v>
      </c>
      <c r="Z52" s="19">
        <f>Y52</f>
        <v>1</v>
      </c>
    </row>
    <row r="53" spans="1:27" s="5" customFormat="1" ht="32.25" customHeight="1" x14ac:dyDescent="0.25">
      <c r="A53" s="149"/>
      <c r="B53" s="16" t="s">
        <v>35</v>
      </c>
      <c r="C53" s="17">
        <f t="shared" si="15"/>
        <v>0</v>
      </c>
      <c r="D53" s="17">
        <f t="shared" ref="D53:I53" si="26">(D52/78*100)-D52</f>
        <v>0</v>
      </c>
      <c r="E53" s="17">
        <f t="shared" si="26"/>
        <v>0</v>
      </c>
      <c r="F53" s="17">
        <f t="shared" si="26"/>
        <v>0</v>
      </c>
      <c r="G53" s="17">
        <f t="shared" si="26"/>
        <v>0</v>
      </c>
      <c r="H53" s="17">
        <f t="shared" si="26"/>
        <v>0</v>
      </c>
      <c r="I53" s="17">
        <f t="shared" si="26"/>
        <v>0</v>
      </c>
      <c r="J53" s="17">
        <v>0</v>
      </c>
      <c r="K53" s="17">
        <v>0</v>
      </c>
      <c r="L53" s="17">
        <v>0</v>
      </c>
      <c r="M53" s="137"/>
      <c r="N53" s="18" t="s">
        <v>64</v>
      </c>
      <c r="O53" s="19">
        <v>20</v>
      </c>
      <c r="P53" s="19">
        <v>20</v>
      </c>
      <c r="Q53" s="19">
        <v>20</v>
      </c>
      <c r="R53" s="19">
        <v>20</v>
      </c>
      <c r="S53" s="19">
        <v>20</v>
      </c>
      <c r="T53" s="19">
        <v>20</v>
      </c>
      <c r="U53" s="19">
        <v>20</v>
      </c>
      <c r="V53" s="19">
        <v>20</v>
      </c>
      <c r="W53" s="19">
        <v>20</v>
      </c>
      <c r="X53" s="19">
        <v>20</v>
      </c>
      <c r="Y53" s="19">
        <v>20</v>
      </c>
      <c r="Z53" s="19">
        <f>Y53</f>
        <v>20</v>
      </c>
    </row>
    <row r="54" spans="1:27" s="5" customFormat="1" ht="31.5" hidden="1" customHeight="1" x14ac:dyDescent="0.25">
      <c r="A54" s="16" t="s">
        <v>65</v>
      </c>
      <c r="B54" s="16" t="s">
        <v>30</v>
      </c>
      <c r="C54" s="17">
        <f t="shared" si="15"/>
        <v>0</v>
      </c>
      <c r="D54" s="17">
        <f t="shared" ref="D54:L54" si="27">D55+D56</f>
        <v>0</v>
      </c>
      <c r="E54" s="17">
        <f t="shared" si="27"/>
        <v>0</v>
      </c>
      <c r="F54" s="17">
        <f t="shared" si="27"/>
        <v>0</v>
      </c>
      <c r="G54" s="17">
        <f t="shared" si="27"/>
        <v>0</v>
      </c>
      <c r="H54" s="17">
        <f t="shared" si="27"/>
        <v>0</v>
      </c>
      <c r="I54" s="17">
        <f t="shared" si="27"/>
        <v>0</v>
      </c>
      <c r="J54" s="17">
        <f t="shared" si="27"/>
        <v>0</v>
      </c>
      <c r="K54" s="17">
        <f t="shared" si="27"/>
        <v>0</v>
      </c>
      <c r="L54" s="17">
        <f t="shared" si="27"/>
        <v>0</v>
      </c>
      <c r="M54" s="13" t="s">
        <v>23</v>
      </c>
      <c r="N54" s="26" t="s">
        <v>61</v>
      </c>
      <c r="O54" s="150">
        <v>1</v>
      </c>
      <c r="P54" s="150">
        <v>1</v>
      </c>
      <c r="Q54" s="150">
        <v>1</v>
      </c>
      <c r="R54" s="150">
        <v>1</v>
      </c>
      <c r="S54" s="150">
        <v>1</v>
      </c>
      <c r="T54" s="150">
        <v>1</v>
      </c>
      <c r="U54" s="150">
        <v>1</v>
      </c>
      <c r="V54" s="150">
        <v>1</v>
      </c>
      <c r="W54" s="150">
        <v>1</v>
      </c>
      <c r="X54" s="150">
        <v>1</v>
      </c>
      <c r="Y54" s="150">
        <v>1</v>
      </c>
      <c r="Z54" s="150">
        <f>SUM(O54:Y56)</f>
        <v>11</v>
      </c>
      <c r="AA54" s="35"/>
    </row>
    <row r="55" spans="1:27" s="5" customFormat="1" ht="96" hidden="1" customHeight="1" x14ac:dyDescent="0.25">
      <c r="A55" s="36"/>
      <c r="B55" s="16" t="s">
        <v>33</v>
      </c>
      <c r="C55" s="17">
        <f t="shared" si="15"/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3"/>
      <c r="N55" s="26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35"/>
    </row>
    <row r="56" spans="1:27" s="5" customFormat="1" ht="98.25" hidden="1" customHeight="1" x14ac:dyDescent="0.25">
      <c r="A56" s="36"/>
      <c r="B56" s="16" t="s">
        <v>35</v>
      </c>
      <c r="C56" s="17">
        <f t="shared" si="15"/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/>
      <c r="N56" s="29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35"/>
    </row>
    <row r="57" spans="1:27" s="5" customFormat="1" ht="35.25" hidden="1" customHeight="1" x14ac:dyDescent="0.25">
      <c r="A57" s="16" t="s">
        <v>66</v>
      </c>
      <c r="B57" s="16" t="s">
        <v>30</v>
      </c>
      <c r="C57" s="17">
        <f t="shared" si="15"/>
        <v>55952057.396833129</v>
      </c>
      <c r="D57" s="17">
        <f t="shared" ref="D57:L57" si="28">D58+D59</f>
        <v>5555555.5600000005</v>
      </c>
      <c r="E57" s="17">
        <f t="shared" si="28"/>
        <v>800000</v>
      </c>
      <c r="F57" s="17">
        <f t="shared" si="28"/>
        <v>800000</v>
      </c>
      <c r="G57" s="17">
        <f t="shared" si="28"/>
        <v>7829600</v>
      </c>
      <c r="H57" s="17">
        <f t="shared" si="28"/>
        <v>7945613.5999999996</v>
      </c>
      <c r="I57" s="17">
        <f t="shared" si="28"/>
        <v>8066383.7576000001</v>
      </c>
      <c r="J57" s="17">
        <f t="shared" si="28"/>
        <v>8189039.1079040002</v>
      </c>
      <c r="K57" s="17">
        <f t="shared" si="28"/>
        <v>8316600.6722201603</v>
      </c>
      <c r="L57" s="17">
        <f t="shared" si="28"/>
        <v>8449264.6991089657</v>
      </c>
      <c r="M57" s="13"/>
      <c r="N57" s="25" t="s">
        <v>61</v>
      </c>
      <c r="O57" s="150" t="e">
        <f>(#REF!/300000)+1</f>
        <v>#REF!</v>
      </c>
      <c r="P57" s="150" t="e">
        <f>(#REF!/300000)+1</f>
        <v>#REF!</v>
      </c>
      <c r="Q57" s="150">
        <f t="shared" ref="Q57:Y57" si="29">(D57/300000)+1</f>
        <v>19.518518533333335</v>
      </c>
      <c r="R57" s="150">
        <f t="shared" si="29"/>
        <v>3.6666666666666665</v>
      </c>
      <c r="S57" s="150">
        <f t="shared" si="29"/>
        <v>3.6666666666666665</v>
      </c>
      <c r="T57" s="150">
        <f t="shared" si="29"/>
        <v>27.098666666666666</v>
      </c>
      <c r="U57" s="150">
        <f t="shared" si="29"/>
        <v>27.485378666666666</v>
      </c>
      <c r="V57" s="150">
        <f t="shared" si="29"/>
        <v>27.887945858666669</v>
      </c>
      <c r="W57" s="150">
        <f t="shared" si="29"/>
        <v>28.296797026346667</v>
      </c>
      <c r="X57" s="150">
        <f t="shared" si="29"/>
        <v>28.722002240733868</v>
      </c>
      <c r="Y57" s="150">
        <f t="shared" si="29"/>
        <v>29.164215663696552</v>
      </c>
      <c r="Z57" s="150" t="e">
        <f>SUM(O57:Y59)</f>
        <v>#REF!</v>
      </c>
      <c r="AA57" s="35"/>
    </row>
    <row r="58" spans="1:27" s="5" customFormat="1" ht="90" hidden="1" customHeight="1" x14ac:dyDescent="0.25">
      <c r="A58" s="16"/>
      <c r="B58" s="16" t="s">
        <v>33</v>
      </c>
      <c r="C58" s="17">
        <f t="shared" si="15"/>
        <v>35000000</v>
      </c>
      <c r="D58" s="17">
        <v>5000000</v>
      </c>
      <c r="E58" s="17">
        <v>0</v>
      </c>
      <c r="F58" s="17">
        <v>0</v>
      </c>
      <c r="G58" s="17">
        <v>5000000</v>
      </c>
      <c r="H58" s="17">
        <v>5000000</v>
      </c>
      <c r="I58" s="17">
        <v>5000000</v>
      </c>
      <c r="J58" s="17">
        <v>5000000</v>
      </c>
      <c r="K58" s="17">
        <v>5000000</v>
      </c>
      <c r="L58" s="17">
        <v>5000000</v>
      </c>
      <c r="M58" s="17"/>
      <c r="N58" s="26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35"/>
    </row>
    <row r="59" spans="1:27" s="5" customFormat="1" ht="45" hidden="1" customHeight="1" x14ac:dyDescent="0.25">
      <c r="A59" s="16"/>
      <c r="B59" s="16" t="s">
        <v>35</v>
      </c>
      <c r="C59" s="17">
        <f t="shared" si="15"/>
        <v>20952057.396833126</v>
      </c>
      <c r="D59" s="17">
        <v>555555.56000000006</v>
      </c>
      <c r="E59" s="17">
        <v>800000</v>
      </c>
      <c r="F59" s="17">
        <v>800000</v>
      </c>
      <c r="G59" s="17">
        <f>F59*103.7/100+2000000</f>
        <v>2829600</v>
      </c>
      <c r="H59" s="17">
        <f>G59*104.1/100</f>
        <v>2945613.6</v>
      </c>
      <c r="I59" s="17">
        <f>H59*104.1/100</f>
        <v>3066383.7576000001</v>
      </c>
      <c r="J59" s="17">
        <f>I59*104/100</f>
        <v>3189039.1079040002</v>
      </c>
      <c r="K59" s="17">
        <f>J59*104/100</f>
        <v>3316600.6722201603</v>
      </c>
      <c r="L59" s="17">
        <f>K59*104/100</f>
        <v>3449264.6991089666</v>
      </c>
      <c r="M59" s="17"/>
      <c r="N59" s="29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35"/>
    </row>
    <row r="60" spans="1:27" s="5" customFormat="1" ht="25.5" hidden="1" customHeight="1" x14ac:dyDescent="0.25">
      <c r="A60" s="16" t="s">
        <v>67</v>
      </c>
      <c r="B60" s="16" t="s">
        <v>30</v>
      </c>
      <c r="C60" s="17">
        <f t="shared" si="15"/>
        <v>0</v>
      </c>
      <c r="D60" s="17">
        <f t="shared" ref="D60:L60" si="30">D61+D62</f>
        <v>0</v>
      </c>
      <c r="E60" s="17">
        <f t="shared" si="30"/>
        <v>0</v>
      </c>
      <c r="F60" s="17">
        <f t="shared" si="30"/>
        <v>0</v>
      </c>
      <c r="G60" s="17">
        <f t="shared" si="30"/>
        <v>0</v>
      </c>
      <c r="H60" s="17">
        <f t="shared" si="30"/>
        <v>0</v>
      </c>
      <c r="I60" s="17">
        <f t="shared" si="30"/>
        <v>0</v>
      </c>
      <c r="J60" s="17">
        <f t="shared" si="30"/>
        <v>0</v>
      </c>
      <c r="K60" s="17">
        <f t="shared" si="30"/>
        <v>0</v>
      </c>
      <c r="L60" s="17">
        <f t="shared" si="30"/>
        <v>0</v>
      </c>
      <c r="M60" s="17"/>
      <c r="N60" s="25" t="s">
        <v>61</v>
      </c>
      <c r="O60" s="150">
        <v>1</v>
      </c>
      <c r="P60" s="150">
        <v>1</v>
      </c>
      <c r="Q60" s="150">
        <v>1</v>
      </c>
      <c r="R60" s="150">
        <v>1</v>
      </c>
      <c r="S60" s="150">
        <v>1</v>
      </c>
      <c r="T60" s="150">
        <v>1</v>
      </c>
      <c r="U60" s="150">
        <v>1</v>
      </c>
      <c r="V60" s="150">
        <v>1</v>
      </c>
      <c r="W60" s="150">
        <v>1</v>
      </c>
      <c r="X60" s="150">
        <v>1</v>
      </c>
      <c r="Y60" s="150">
        <v>1</v>
      </c>
      <c r="Z60" s="150">
        <f>SUM(O60:Y62)</f>
        <v>11</v>
      </c>
      <c r="AA60" s="35"/>
    </row>
    <row r="61" spans="1:27" s="5" customFormat="1" ht="152.25" hidden="1" customHeight="1" x14ac:dyDescent="0.25">
      <c r="A61" s="36"/>
      <c r="B61" s="16" t="s">
        <v>33</v>
      </c>
      <c r="C61" s="17">
        <f t="shared" si="15"/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/>
      <c r="N61" s="26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1"/>
      <c r="Z61" s="151"/>
      <c r="AA61" s="35"/>
    </row>
    <row r="62" spans="1:27" s="5" customFormat="1" ht="116.25" hidden="1" customHeight="1" x14ac:dyDescent="0.25">
      <c r="A62" s="31" t="s">
        <v>68</v>
      </c>
      <c r="B62" s="16" t="s">
        <v>35</v>
      </c>
      <c r="C62" s="17">
        <f t="shared" si="15"/>
        <v>0</v>
      </c>
      <c r="D62" s="17">
        <f>(D61/78*100)-D61</f>
        <v>0</v>
      </c>
      <c r="E62" s="17">
        <v>0</v>
      </c>
      <c r="F62" s="17">
        <v>0</v>
      </c>
      <c r="G62" s="17">
        <v>0</v>
      </c>
      <c r="H62" s="17">
        <f>G62*101.6/100</f>
        <v>0</v>
      </c>
      <c r="I62" s="17">
        <f>H62*101.4/100</f>
        <v>0</v>
      </c>
      <c r="J62" s="17">
        <f>I62*101.3/100</f>
        <v>0</v>
      </c>
      <c r="K62" s="17">
        <f>J62*101.3/100</f>
        <v>0</v>
      </c>
      <c r="L62" s="17">
        <f>K62*101.3/100</f>
        <v>0</v>
      </c>
      <c r="M62" s="17"/>
      <c r="N62" s="29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35"/>
    </row>
    <row r="63" spans="1:27" s="5" customFormat="1" ht="48.75" hidden="1" customHeight="1" x14ac:dyDescent="0.25">
      <c r="A63" s="16" t="s">
        <v>69</v>
      </c>
      <c r="B63" s="16" t="s">
        <v>70</v>
      </c>
      <c r="C63" s="17">
        <f t="shared" si="15"/>
        <v>0</v>
      </c>
      <c r="D63" s="17">
        <f t="shared" ref="D63:L63" si="31">D64+D65</f>
        <v>0</v>
      </c>
      <c r="E63" s="17">
        <f t="shared" si="31"/>
        <v>0</v>
      </c>
      <c r="F63" s="17">
        <f t="shared" si="31"/>
        <v>0</v>
      </c>
      <c r="G63" s="17">
        <f t="shared" si="31"/>
        <v>0</v>
      </c>
      <c r="H63" s="17">
        <f t="shared" si="31"/>
        <v>0</v>
      </c>
      <c r="I63" s="17">
        <f t="shared" si="31"/>
        <v>0</v>
      </c>
      <c r="J63" s="17">
        <f t="shared" si="31"/>
        <v>0</v>
      </c>
      <c r="K63" s="17">
        <f t="shared" si="31"/>
        <v>0</v>
      </c>
      <c r="L63" s="17">
        <f t="shared" si="31"/>
        <v>0</v>
      </c>
      <c r="M63" s="13"/>
      <c r="N63" s="25" t="s">
        <v>61</v>
      </c>
      <c r="O63" s="144">
        <v>1</v>
      </c>
      <c r="P63" s="144">
        <v>1</v>
      </c>
      <c r="Q63" s="144">
        <v>1</v>
      </c>
      <c r="R63" s="144">
        <v>1</v>
      </c>
      <c r="S63" s="144">
        <v>1</v>
      </c>
      <c r="T63" s="144">
        <v>1</v>
      </c>
      <c r="U63" s="144">
        <v>1</v>
      </c>
      <c r="V63" s="144">
        <v>1</v>
      </c>
      <c r="W63" s="144">
        <v>1</v>
      </c>
      <c r="X63" s="144">
        <v>1</v>
      </c>
      <c r="Y63" s="144">
        <v>1</v>
      </c>
      <c r="Z63" s="144">
        <f>SUM(O63:Y65)</f>
        <v>11</v>
      </c>
    </row>
    <row r="64" spans="1:27" s="5" customFormat="1" ht="75.75" hidden="1" customHeight="1" x14ac:dyDescent="0.25">
      <c r="A64" s="36"/>
      <c r="B64" s="16" t="s">
        <v>33</v>
      </c>
      <c r="C64" s="17">
        <f t="shared" si="15"/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3"/>
      <c r="N64" s="26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45"/>
      <c r="Z64" s="145"/>
    </row>
    <row r="65" spans="1:26" s="5" customFormat="1" ht="83.25" hidden="1" customHeight="1" x14ac:dyDescent="0.25">
      <c r="A65" s="36"/>
      <c r="B65" s="16" t="s">
        <v>35</v>
      </c>
      <c r="C65" s="17">
        <f t="shared" si="15"/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f>I65*101.3/100</f>
        <v>0</v>
      </c>
      <c r="K65" s="17">
        <f>J65*101.3/100</f>
        <v>0</v>
      </c>
      <c r="L65" s="17">
        <f>K65*101.3/100</f>
        <v>0</v>
      </c>
      <c r="M65" s="17"/>
      <c r="N65" s="29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</row>
    <row r="66" spans="1:26" s="5" customFormat="1" ht="25.5" hidden="1" customHeight="1" x14ac:dyDescent="0.25">
      <c r="A66" s="16" t="s">
        <v>71</v>
      </c>
      <c r="B66" s="16" t="s">
        <v>30</v>
      </c>
      <c r="C66" s="17">
        <f t="shared" si="15"/>
        <v>5306380.3699200004</v>
      </c>
      <c r="D66" s="17">
        <f t="shared" ref="D66:L66" si="32">D67+D68</f>
        <v>0</v>
      </c>
      <c r="E66" s="17">
        <f t="shared" si="32"/>
        <v>0</v>
      </c>
      <c r="F66" s="17">
        <f t="shared" si="32"/>
        <v>0</v>
      </c>
      <c r="G66" s="17">
        <f t="shared" si="32"/>
        <v>800000</v>
      </c>
      <c r="H66" s="17">
        <f t="shared" si="32"/>
        <v>832000</v>
      </c>
      <c r="I66" s="17">
        <f t="shared" si="32"/>
        <v>865280</v>
      </c>
      <c r="J66" s="17">
        <f t="shared" si="32"/>
        <v>899891.19999999995</v>
      </c>
      <c r="K66" s="17">
        <f t="shared" si="32"/>
        <v>935886.848</v>
      </c>
      <c r="L66" s="17">
        <f t="shared" si="32"/>
        <v>973322.32192000002</v>
      </c>
      <c r="M66" s="13"/>
      <c r="N66" s="18" t="s">
        <v>61</v>
      </c>
      <c r="O66" s="144">
        <v>1</v>
      </c>
      <c r="P66" s="144">
        <v>1</v>
      </c>
      <c r="Q66" s="144">
        <v>1</v>
      </c>
      <c r="R66" s="144">
        <v>1</v>
      </c>
      <c r="S66" s="144">
        <v>1</v>
      </c>
      <c r="T66" s="144">
        <v>1</v>
      </c>
      <c r="U66" s="144">
        <v>1</v>
      </c>
      <c r="V66" s="144">
        <v>1</v>
      </c>
      <c r="W66" s="144">
        <v>1</v>
      </c>
      <c r="X66" s="144">
        <v>1</v>
      </c>
      <c r="Y66" s="144">
        <v>1</v>
      </c>
      <c r="Z66" s="144">
        <f>SUM(O66:Y67)</f>
        <v>11</v>
      </c>
    </row>
    <row r="67" spans="1:26" s="5" customFormat="1" ht="111.75" hidden="1" customHeight="1" x14ac:dyDescent="0.25">
      <c r="A67" s="36"/>
      <c r="B67" s="16" t="s">
        <v>33</v>
      </c>
      <c r="C67" s="17">
        <f t="shared" si="15"/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3"/>
      <c r="N67" s="1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</row>
    <row r="68" spans="1:26" s="5" customFormat="1" ht="96" hidden="1" customHeight="1" x14ac:dyDescent="0.25">
      <c r="A68" s="36"/>
      <c r="B68" s="16" t="s">
        <v>35</v>
      </c>
      <c r="C68" s="17">
        <f t="shared" si="15"/>
        <v>5306380.3699200004</v>
      </c>
      <c r="D68" s="17">
        <v>0</v>
      </c>
      <c r="E68" s="17">
        <v>0</v>
      </c>
      <c r="F68" s="17">
        <v>0</v>
      </c>
      <c r="G68" s="17">
        <v>800000</v>
      </c>
      <c r="H68" s="17">
        <f>G68*104/100</f>
        <v>832000</v>
      </c>
      <c r="I68" s="17">
        <f>H68*104/100</f>
        <v>865280</v>
      </c>
      <c r="J68" s="17">
        <f>I68*104/100</f>
        <v>899891.19999999995</v>
      </c>
      <c r="K68" s="17">
        <f>J68*104/100</f>
        <v>935886.848</v>
      </c>
      <c r="L68" s="17">
        <f>K68*104/100</f>
        <v>973322.32192000002</v>
      </c>
      <c r="M68" s="13"/>
      <c r="N68" s="21" t="s">
        <v>72</v>
      </c>
      <c r="O68" s="19">
        <v>60</v>
      </c>
      <c r="P68" s="19">
        <v>60</v>
      </c>
      <c r="Q68" s="19">
        <v>60</v>
      </c>
      <c r="R68" s="19">
        <v>60</v>
      </c>
      <c r="S68" s="19">
        <v>60</v>
      </c>
      <c r="T68" s="19">
        <v>60</v>
      </c>
      <c r="U68" s="19">
        <v>60</v>
      </c>
      <c r="V68" s="19">
        <v>60</v>
      </c>
      <c r="W68" s="19">
        <v>60</v>
      </c>
      <c r="X68" s="19">
        <v>60</v>
      </c>
      <c r="Y68" s="19">
        <v>60</v>
      </c>
      <c r="Z68" s="19">
        <f>SUM(O68:Y68)</f>
        <v>660</v>
      </c>
    </row>
    <row r="69" spans="1:26" s="5" customFormat="1" ht="47.25" hidden="1" customHeight="1" x14ac:dyDescent="0.25">
      <c r="A69" s="16" t="s">
        <v>73</v>
      </c>
      <c r="B69" s="16" t="s">
        <v>30</v>
      </c>
      <c r="C69" s="17">
        <f t="shared" si="15"/>
        <v>0</v>
      </c>
      <c r="D69" s="17">
        <f t="shared" ref="D69:L69" si="33">D70+D71</f>
        <v>0</v>
      </c>
      <c r="E69" s="17">
        <f t="shared" si="33"/>
        <v>0</v>
      </c>
      <c r="F69" s="17">
        <f t="shared" si="33"/>
        <v>0</v>
      </c>
      <c r="G69" s="17">
        <f t="shared" si="33"/>
        <v>0</v>
      </c>
      <c r="H69" s="17">
        <f t="shared" si="33"/>
        <v>0</v>
      </c>
      <c r="I69" s="17">
        <f t="shared" si="33"/>
        <v>0</v>
      </c>
      <c r="J69" s="17">
        <f t="shared" si="33"/>
        <v>0</v>
      </c>
      <c r="K69" s="17">
        <f t="shared" si="33"/>
        <v>0</v>
      </c>
      <c r="L69" s="17">
        <f t="shared" si="33"/>
        <v>0</v>
      </c>
      <c r="M69" s="13"/>
      <c r="N69" s="26" t="s">
        <v>61</v>
      </c>
      <c r="O69" s="144" t="e">
        <f>(#REF!/100000)</f>
        <v>#REF!</v>
      </c>
      <c r="P69" s="144" t="e">
        <f>(#REF!/200000)</f>
        <v>#REF!</v>
      </c>
      <c r="Q69" s="144">
        <f>(D69/200000)</f>
        <v>0</v>
      </c>
      <c r="R69" s="144">
        <f t="shared" ref="R69:Y69" si="34">E69/200000</f>
        <v>0</v>
      </c>
      <c r="S69" s="144">
        <f t="shared" si="34"/>
        <v>0</v>
      </c>
      <c r="T69" s="144">
        <f t="shared" si="34"/>
        <v>0</v>
      </c>
      <c r="U69" s="144">
        <f t="shared" si="34"/>
        <v>0</v>
      </c>
      <c r="V69" s="144">
        <f t="shared" si="34"/>
        <v>0</v>
      </c>
      <c r="W69" s="144">
        <f t="shared" si="34"/>
        <v>0</v>
      </c>
      <c r="X69" s="144">
        <f t="shared" si="34"/>
        <v>0</v>
      </c>
      <c r="Y69" s="144">
        <f t="shared" si="34"/>
        <v>0</v>
      </c>
      <c r="Z69" s="144" t="e">
        <f>SUM(O69:Y71)</f>
        <v>#REF!</v>
      </c>
    </row>
    <row r="70" spans="1:26" s="5" customFormat="1" ht="73.5" hidden="1" customHeight="1" x14ac:dyDescent="0.25">
      <c r="A70" s="16" t="s">
        <v>74</v>
      </c>
      <c r="B70" s="16" t="s">
        <v>33</v>
      </c>
      <c r="C70" s="17">
        <f t="shared" si="15"/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3"/>
      <c r="N70" s="26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</row>
    <row r="71" spans="1:26" s="5" customFormat="1" ht="40.5" hidden="1" customHeight="1" x14ac:dyDescent="0.25">
      <c r="A71" s="36"/>
      <c r="B71" s="16" t="s">
        <v>35</v>
      </c>
      <c r="C71" s="17">
        <f t="shared" si="15"/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/>
      <c r="N71" s="29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</row>
    <row r="72" spans="1:26" s="5" customFormat="1" ht="41.25" hidden="1" customHeight="1" x14ac:dyDescent="0.25">
      <c r="A72" s="16" t="s">
        <v>75</v>
      </c>
      <c r="B72" s="16" t="s">
        <v>30</v>
      </c>
      <c r="C72" s="17">
        <f t="shared" si="15"/>
        <v>0</v>
      </c>
      <c r="D72" s="17">
        <f t="shared" ref="D72:L72" si="35">D73+D74</f>
        <v>0</v>
      </c>
      <c r="E72" s="17">
        <f t="shared" si="35"/>
        <v>0</v>
      </c>
      <c r="F72" s="17">
        <f t="shared" si="35"/>
        <v>0</v>
      </c>
      <c r="G72" s="17">
        <f t="shared" si="35"/>
        <v>0</v>
      </c>
      <c r="H72" s="17">
        <f t="shared" si="35"/>
        <v>0</v>
      </c>
      <c r="I72" s="17">
        <f t="shared" si="35"/>
        <v>0</v>
      </c>
      <c r="J72" s="17">
        <f t="shared" si="35"/>
        <v>0</v>
      </c>
      <c r="K72" s="17">
        <f t="shared" si="35"/>
        <v>0</v>
      </c>
      <c r="L72" s="17">
        <f t="shared" si="35"/>
        <v>0</v>
      </c>
      <c r="M72" s="17"/>
      <c r="N72" s="26" t="s">
        <v>61</v>
      </c>
      <c r="O72" s="144" t="e">
        <f>(#REF!/10000)</f>
        <v>#REF!</v>
      </c>
      <c r="P72" s="144" t="e">
        <f>(#REF!/200000)</f>
        <v>#REF!</v>
      </c>
      <c r="Q72" s="144">
        <f>(D72/200000)</f>
        <v>0</v>
      </c>
      <c r="R72" s="144">
        <f t="shared" ref="R72:Y72" si="36">E72/200000</f>
        <v>0</v>
      </c>
      <c r="S72" s="144">
        <f t="shared" si="36"/>
        <v>0</v>
      </c>
      <c r="T72" s="144">
        <f t="shared" si="36"/>
        <v>0</v>
      </c>
      <c r="U72" s="144">
        <f t="shared" si="36"/>
        <v>0</v>
      </c>
      <c r="V72" s="144">
        <f t="shared" si="36"/>
        <v>0</v>
      </c>
      <c r="W72" s="144">
        <f t="shared" si="36"/>
        <v>0</v>
      </c>
      <c r="X72" s="144">
        <f t="shared" si="36"/>
        <v>0</v>
      </c>
      <c r="Y72" s="144">
        <f t="shared" si="36"/>
        <v>0</v>
      </c>
      <c r="Z72" s="144" t="e">
        <f>SUM(O72:Y74)</f>
        <v>#REF!</v>
      </c>
    </row>
    <row r="73" spans="1:26" s="5" customFormat="1" ht="69.75" hidden="1" customHeight="1" x14ac:dyDescent="0.25">
      <c r="A73" s="36"/>
      <c r="B73" s="16" t="s">
        <v>33</v>
      </c>
      <c r="C73" s="17">
        <f t="shared" si="15"/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3"/>
      <c r="N73" s="26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</row>
    <row r="74" spans="1:26" s="5" customFormat="1" ht="45.75" hidden="1" customHeight="1" x14ac:dyDescent="0.25">
      <c r="A74" s="36"/>
      <c r="B74" s="16" t="s">
        <v>35</v>
      </c>
      <c r="C74" s="17">
        <f t="shared" si="15"/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/>
      <c r="N74" s="29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</row>
    <row r="75" spans="1:26" s="5" customFormat="1" ht="29.25" hidden="1" customHeight="1" x14ac:dyDescent="0.25">
      <c r="A75" s="16" t="s">
        <v>76</v>
      </c>
      <c r="B75" s="16" t="s">
        <v>30</v>
      </c>
      <c r="C75" s="17">
        <f t="shared" si="15"/>
        <v>58117319.017650895</v>
      </c>
      <c r="D75" s="17">
        <f t="shared" ref="D75:L75" si="37">D76+D77</f>
        <v>5555555.5600000005</v>
      </c>
      <c r="E75" s="17">
        <f t="shared" si="37"/>
        <v>800000</v>
      </c>
      <c r="F75" s="17">
        <f t="shared" si="37"/>
        <v>800000</v>
      </c>
      <c r="G75" s="17">
        <f t="shared" si="37"/>
        <v>8155555.5600000005</v>
      </c>
      <c r="H75" s="17">
        <f t="shared" si="37"/>
        <v>8284933.3379600001</v>
      </c>
      <c r="I75" s="17">
        <f t="shared" si="37"/>
        <v>8419615.6048163604</v>
      </c>
      <c r="J75" s="17">
        <f t="shared" si="37"/>
        <v>8556400.2290090136</v>
      </c>
      <c r="K75" s="17">
        <f t="shared" si="37"/>
        <v>8698656.2381693758</v>
      </c>
      <c r="L75" s="17">
        <f t="shared" si="37"/>
        <v>8846602.4876961503</v>
      </c>
      <c r="M75" s="17"/>
      <c r="N75" s="26" t="s">
        <v>61</v>
      </c>
      <c r="O75" s="144" t="e">
        <f>(#REF!/200000)</f>
        <v>#REF!</v>
      </c>
      <c r="P75" s="144" t="e">
        <f>(#REF!/200000)+1</f>
        <v>#REF!</v>
      </c>
      <c r="Q75" s="144">
        <f>(D75/200000)+1</f>
        <v>28.777777800000003</v>
      </c>
      <c r="R75" s="144">
        <f t="shared" ref="R75:Y75" si="38">E75/200000</f>
        <v>4</v>
      </c>
      <c r="S75" s="144">
        <f t="shared" si="38"/>
        <v>4</v>
      </c>
      <c r="T75" s="144">
        <f t="shared" si="38"/>
        <v>40.777777800000003</v>
      </c>
      <c r="U75" s="144">
        <f t="shared" si="38"/>
        <v>41.424666689799999</v>
      </c>
      <c r="V75" s="144">
        <f t="shared" si="38"/>
        <v>42.098078024081801</v>
      </c>
      <c r="W75" s="144">
        <f t="shared" si="38"/>
        <v>42.782001145045065</v>
      </c>
      <c r="X75" s="144">
        <f t="shared" si="38"/>
        <v>43.493281190846879</v>
      </c>
      <c r="Y75" s="144">
        <f t="shared" si="38"/>
        <v>44.233012438480749</v>
      </c>
      <c r="Z75" s="144" t="e">
        <f>SUM(O75:Y77)</f>
        <v>#REF!</v>
      </c>
    </row>
    <row r="76" spans="1:26" s="5" customFormat="1" ht="63.75" hidden="1" customHeight="1" x14ac:dyDescent="0.25">
      <c r="A76" s="36"/>
      <c r="B76" s="16" t="s">
        <v>33</v>
      </c>
      <c r="C76" s="17">
        <f t="shared" si="15"/>
        <v>35000000</v>
      </c>
      <c r="D76" s="17">
        <v>5000000</v>
      </c>
      <c r="E76" s="17">
        <v>0</v>
      </c>
      <c r="F76" s="17">
        <v>0</v>
      </c>
      <c r="G76" s="17">
        <v>5000000</v>
      </c>
      <c r="H76" s="17">
        <v>5000000</v>
      </c>
      <c r="I76" s="17">
        <v>5000000</v>
      </c>
      <c r="J76" s="17">
        <v>5000000</v>
      </c>
      <c r="K76" s="17">
        <v>5000000</v>
      </c>
      <c r="L76" s="17">
        <v>5000000</v>
      </c>
      <c r="M76" s="17"/>
      <c r="N76" s="26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</row>
    <row r="77" spans="1:26" s="5" customFormat="1" ht="40.5" hidden="1" customHeight="1" x14ac:dyDescent="0.25">
      <c r="A77" s="36"/>
      <c r="B77" s="16" t="s">
        <v>35</v>
      </c>
      <c r="C77" s="17">
        <f t="shared" si="15"/>
        <v>23117319.017650899</v>
      </c>
      <c r="D77" s="17">
        <v>555555.56000000006</v>
      </c>
      <c r="E77" s="17">
        <v>800000</v>
      </c>
      <c r="F77" s="17">
        <v>800000</v>
      </c>
      <c r="G77" s="17">
        <f>1155555.56+2000000</f>
        <v>3155555.56</v>
      </c>
      <c r="H77" s="17">
        <f>G77*104.1/100</f>
        <v>3284933.3379600001</v>
      </c>
      <c r="I77" s="17">
        <f>H77*104.1/100</f>
        <v>3419615.6048163599</v>
      </c>
      <c r="J77" s="17">
        <f>I77*104/100</f>
        <v>3556400.2290090146</v>
      </c>
      <c r="K77" s="17">
        <f>J77*104/100</f>
        <v>3698656.2381693749</v>
      </c>
      <c r="L77" s="17">
        <f>K77*104/100</f>
        <v>3846602.4876961499</v>
      </c>
      <c r="M77" s="17"/>
      <c r="N77" s="29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</row>
    <row r="78" spans="1:26" s="5" customFormat="1" ht="45" hidden="1" customHeight="1" x14ac:dyDescent="0.25">
      <c r="A78" s="16" t="s">
        <v>77</v>
      </c>
      <c r="B78" s="16" t="s">
        <v>30</v>
      </c>
      <c r="C78" s="17">
        <f t="shared" si="15"/>
        <v>8638029.1430400014</v>
      </c>
      <c r="D78" s="17">
        <f t="shared" ref="D78:L78" si="39">D79+D80</f>
        <v>2000000</v>
      </c>
      <c r="E78" s="17">
        <f t="shared" si="39"/>
        <v>500000</v>
      </c>
      <c r="F78" s="17">
        <f t="shared" si="39"/>
        <v>500000</v>
      </c>
      <c r="G78" s="17">
        <f t="shared" si="39"/>
        <v>850000</v>
      </c>
      <c r="H78" s="17">
        <f t="shared" si="39"/>
        <v>884000</v>
      </c>
      <c r="I78" s="17">
        <f t="shared" si="39"/>
        <v>919360</v>
      </c>
      <c r="J78" s="17">
        <f t="shared" si="39"/>
        <v>956134.40000000002</v>
      </c>
      <c r="K78" s="17">
        <f t="shared" si="39"/>
        <v>994379.77600000007</v>
      </c>
      <c r="L78" s="17">
        <f t="shared" si="39"/>
        <v>1034154.9670400001</v>
      </c>
      <c r="M78" s="17"/>
      <c r="N78" s="25" t="s">
        <v>61</v>
      </c>
      <c r="O78" s="144" t="e">
        <f>(#REF!/300000)+1</f>
        <v>#REF!</v>
      </c>
      <c r="P78" s="144" t="e">
        <f>(#REF!/300000)+1</f>
        <v>#REF!</v>
      </c>
      <c r="Q78" s="144">
        <f>(D78/300000)+1</f>
        <v>7.666666666666667</v>
      </c>
      <c r="R78" s="144">
        <f t="shared" ref="R78:Y78" si="40">E78/300000</f>
        <v>1.6666666666666667</v>
      </c>
      <c r="S78" s="144">
        <f t="shared" si="40"/>
        <v>1.6666666666666667</v>
      </c>
      <c r="T78" s="144">
        <f t="shared" si="40"/>
        <v>2.8333333333333335</v>
      </c>
      <c r="U78" s="144">
        <f t="shared" si="40"/>
        <v>2.9466666666666668</v>
      </c>
      <c r="V78" s="144">
        <f t="shared" si="40"/>
        <v>3.0645333333333333</v>
      </c>
      <c r="W78" s="144">
        <f t="shared" si="40"/>
        <v>3.1871146666666665</v>
      </c>
      <c r="X78" s="144">
        <f t="shared" si="40"/>
        <v>3.3145992533333337</v>
      </c>
      <c r="Y78" s="144">
        <f t="shared" si="40"/>
        <v>3.4471832234666673</v>
      </c>
      <c r="Z78" s="144" t="e">
        <f>SUM(O78:Y80)</f>
        <v>#REF!</v>
      </c>
    </row>
    <row r="79" spans="1:26" s="5" customFormat="1" ht="78.75" hidden="1" customHeight="1" x14ac:dyDescent="0.25">
      <c r="A79" s="16"/>
      <c r="B79" s="16" t="s">
        <v>33</v>
      </c>
      <c r="C79" s="17">
        <f t="shared" si="15"/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/>
      <c r="N79" s="26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</row>
    <row r="80" spans="1:26" s="5" customFormat="1" ht="61.5" hidden="1" customHeight="1" x14ac:dyDescent="0.25">
      <c r="A80" s="16"/>
      <c r="B80" s="16" t="s">
        <v>35</v>
      </c>
      <c r="C80" s="17">
        <f t="shared" si="15"/>
        <v>8638029.1430400014</v>
      </c>
      <c r="D80" s="17">
        <v>2000000</v>
      </c>
      <c r="E80" s="17">
        <v>500000</v>
      </c>
      <c r="F80" s="17">
        <v>500000</v>
      </c>
      <c r="G80" s="17">
        <v>850000</v>
      </c>
      <c r="H80" s="17">
        <f>G80*104/100</f>
        <v>884000</v>
      </c>
      <c r="I80" s="17">
        <f>H80*104/100</f>
        <v>919360</v>
      </c>
      <c r="J80" s="17">
        <f>I80*104/100</f>
        <v>956134.40000000002</v>
      </c>
      <c r="K80" s="17">
        <f>J80*104/100</f>
        <v>994379.77600000007</v>
      </c>
      <c r="L80" s="17">
        <f>K80*104/100</f>
        <v>1034154.9670400001</v>
      </c>
      <c r="M80" s="17"/>
      <c r="N80" s="29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</row>
    <row r="81" spans="1:26" s="5" customFormat="1" ht="43.5" hidden="1" customHeight="1" x14ac:dyDescent="0.25">
      <c r="A81" s="16" t="s">
        <v>78</v>
      </c>
      <c r="B81" s="16" t="s">
        <v>30</v>
      </c>
      <c r="C81" s="17">
        <f t="shared" si="15"/>
        <v>0</v>
      </c>
      <c r="D81" s="17">
        <f t="shared" ref="D81:L81" si="41">D82+D83</f>
        <v>0</v>
      </c>
      <c r="E81" s="17">
        <f t="shared" si="41"/>
        <v>0</v>
      </c>
      <c r="F81" s="17">
        <f t="shared" si="41"/>
        <v>0</v>
      </c>
      <c r="G81" s="17">
        <f t="shared" si="41"/>
        <v>0</v>
      </c>
      <c r="H81" s="17">
        <f t="shared" si="41"/>
        <v>0</v>
      </c>
      <c r="I81" s="17">
        <f t="shared" si="41"/>
        <v>0</v>
      </c>
      <c r="J81" s="17">
        <f t="shared" si="41"/>
        <v>0</v>
      </c>
      <c r="K81" s="17">
        <f t="shared" si="41"/>
        <v>0</v>
      </c>
      <c r="L81" s="17">
        <f t="shared" si="41"/>
        <v>0</v>
      </c>
      <c r="M81" s="17"/>
      <c r="N81" s="25" t="s">
        <v>61</v>
      </c>
      <c r="O81" s="144">
        <v>1</v>
      </c>
      <c r="P81" s="144">
        <v>1</v>
      </c>
      <c r="Q81" s="144">
        <v>1</v>
      </c>
      <c r="R81" s="144">
        <v>1</v>
      </c>
      <c r="S81" s="144">
        <v>1</v>
      </c>
      <c r="T81" s="144">
        <v>1</v>
      </c>
      <c r="U81" s="144">
        <v>1</v>
      </c>
      <c r="V81" s="144">
        <v>1</v>
      </c>
      <c r="W81" s="144">
        <v>1</v>
      </c>
      <c r="X81" s="144">
        <v>1</v>
      </c>
      <c r="Y81" s="144">
        <v>1</v>
      </c>
      <c r="Z81" s="144">
        <f>SUM(O81:Y83)</f>
        <v>11</v>
      </c>
    </row>
    <row r="82" spans="1:26" s="5" customFormat="1" ht="95.25" hidden="1" customHeight="1" x14ac:dyDescent="0.25">
      <c r="A82" s="36"/>
      <c r="B82" s="16" t="s">
        <v>33</v>
      </c>
      <c r="C82" s="17">
        <f t="shared" si="15"/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/>
      <c r="N82" s="26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</row>
    <row r="83" spans="1:26" s="5" customFormat="1" ht="92.25" hidden="1" customHeight="1" x14ac:dyDescent="0.25">
      <c r="A83" s="36"/>
      <c r="B83" s="16" t="s">
        <v>35</v>
      </c>
      <c r="C83" s="17">
        <f t="shared" si="15"/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f>J83*101.3/100</f>
        <v>0</v>
      </c>
      <c r="L83" s="17">
        <f>K83*101.3/100</f>
        <v>0</v>
      </c>
      <c r="M83" s="13"/>
      <c r="N83" s="29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</row>
    <row r="84" spans="1:26" s="5" customFormat="1" ht="31.5" hidden="1" customHeight="1" x14ac:dyDescent="0.25">
      <c r="A84" s="16" t="s">
        <v>79</v>
      </c>
      <c r="B84" s="16" t="s">
        <v>30</v>
      </c>
      <c r="C84" s="17">
        <f t="shared" si="15"/>
        <v>0</v>
      </c>
      <c r="D84" s="17">
        <f t="shared" ref="D84:L84" si="42">D85+D86</f>
        <v>0</v>
      </c>
      <c r="E84" s="17">
        <f t="shared" si="42"/>
        <v>0</v>
      </c>
      <c r="F84" s="17">
        <f t="shared" si="42"/>
        <v>0</v>
      </c>
      <c r="G84" s="17">
        <f t="shared" si="42"/>
        <v>0</v>
      </c>
      <c r="H84" s="17">
        <f t="shared" si="42"/>
        <v>0</v>
      </c>
      <c r="I84" s="17">
        <f t="shared" si="42"/>
        <v>0</v>
      </c>
      <c r="J84" s="17">
        <f t="shared" si="42"/>
        <v>0</v>
      </c>
      <c r="K84" s="17">
        <f t="shared" si="42"/>
        <v>0</v>
      </c>
      <c r="L84" s="17">
        <f t="shared" si="42"/>
        <v>0</v>
      </c>
      <c r="M84" s="17"/>
      <c r="N84" s="25" t="s">
        <v>61</v>
      </c>
      <c r="O84" s="144">
        <v>1</v>
      </c>
      <c r="P84" s="144">
        <v>1</v>
      </c>
      <c r="Q84" s="144">
        <v>1</v>
      </c>
      <c r="R84" s="144">
        <v>1</v>
      </c>
      <c r="S84" s="144">
        <v>1</v>
      </c>
      <c r="T84" s="144">
        <v>1</v>
      </c>
      <c r="U84" s="144">
        <v>1</v>
      </c>
      <c r="V84" s="144">
        <v>1</v>
      </c>
      <c r="W84" s="144">
        <v>1</v>
      </c>
      <c r="X84" s="144">
        <v>1</v>
      </c>
      <c r="Y84" s="144">
        <v>1</v>
      </c>
      <c r="Z84" s="144">
        <f>SUM(O84:Y86)</f>
        <v>11</v>
      </c>
    </row>
    <row r="85" spans="1:26" s="5" customFormat="1" ht="72" hidden="1" customHeight="1" x14ac:dyDescent="0.25">
      <c r="A85" s="36"/>
      <c r="B85" s="16" t="s">
        <v>33</v>
      </c>
      <c r="C85" s="17">
        <f t="shared" si="15"/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/>
      <c r="N85" s="26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</row>
    <row r="86" spans="1:26" s="5" customFormat="1" ht="57" hidden="1" customHeight="1" x14ac:dyDescent="0.25">
      <c r="A86" s="36"/>
      <c r="B86" s="16" t="s">
        <v>35</v>
      </c>
      <c r="C86" s="17">
        <f t="shared" si="15"/>
        <v>0</v>
      </c>
      <c r="D86" s="17">
        <v>0</v>
      </c>
      <c r="E86" s="17">
        <v>0</v>
      </c>
      <c r="F86" s="17">
        <v>0</v>
      </c>
      <c r="G86" s="17">
        <v>0</v>
      </c>
      <c r="H86" s="17">
        <f>G86*101.6/100</f>
        <v>0</v>
      </c>
      <c r="I86" s="17">
        <f>H86*101.4/100</f>
        <v>0</v>
      </c>
      <c r="J86" s="17">
        <f>I86*101.3/100</f>
        <v>0</v>
      </c>
      <c r="K86" s="17">
        <f>J86*101.3/100</f>
        <v>0</v>
      </c>
      <c r="L86" s="17">
        <f>K86*101.3/100</f>
        <v>0</v>
      </c>
      <c r="M86" s="17"/>
      <c r="N86" s="29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</row>
    <row r="87" spans="1:26" s="5" customFormat="1" ht="25.5" customHeight="1" x14ac:dyDescent="0.25">
      <c r="A87" s="138" t="s">
        <v>80</v>
      </c>
      <c r="B87" s="16" t="s">
        <v>30</v>
      </c>
      <c r="C87" s="17">
        <f t="shared" si="15"/>
        <v>6632975.4624000005</v>
      </c>
      <c r="D87" s="17">
        <f t="shared" ref="D87:L87" si="43">D88+D89</f>
        <v>0</v>
      </c>
      <c r="E87" s="17">
        <f t="shared" si="43"/>
        <v>0</v>
      </c>
      <c r="F87" s="17">
        <f t="shared" si="43"/>
        <v>0</v>
      </c>
      <c r="G87" s="17">
        <f t="shared" si="43"/>
        <v>1000000</v>
      </c>
      <c r="H87" s="17">
        <f t="shared" si="43"/>
        <v>1040000</v>
      </c>
      <c r="I87" s="17">
        <f t="shared" si="43"/>
        <v>1081600</v>
      </c>
      <c r="J87" s="17">
        <f t="shared" si="43"/>
        <v>1124864</v>
      </c>
      <c r="K87" s="17">
        <f t="shared" si="43"/>
        <v>1169858.5600000001</v>
      </c>
      <c r="L87" s="17">
        <f t="shared" si="43"/>
        <v>1216652.9024</v>
      </c>
      <c r="M87" s="137" t="s">
        <v>23</v>
      </c>
      <c r="N87" s="18" t="s">
        <v>81</v>
      </c>
      <c r="O87" s="148">
        <v>1</v>
      </c>
      <c r="P87" s="148">
        <v>1</v>
      </c>
      <c r="Q87" s="148">
        <v>1</v>
      </c>
      <c r="R87" s="148">
        <v>1</v>
      </c>
      <c r="S87" s="148">
        <v>1</v>
      </c>
      <c r="T87" s="148">
        <v>1</v>
      </c>
      <c r="U87" s="148">
        <v>1</v>
      </c>
      <c r="V87" s="148">
        <v>1</v>
      </c>
      <c r="W87" s="148">
        <v>1</v>
      </c>
      <c r="X87" s="148">
        <v>1</v>
      </c>
      <c r="Y87" s="148">
        <v>1</v>
      </c>
      <c r="Z87" s="145">
        <f>SUM(O87:Y87)</f>
        <v>11</v>
      </c>
    </row>
    <row r="88" spans="1:26" s="5" customFormat="1" ht="63.75" x14ac:dyDescent="0.25">
      <c r="A88" s="138"/>
      <c r="B88" s="16" t="s">
        <v>33</v>
      </c>
      <c r="C88" s="17">
        <f t="shared" si="15"/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37"/>
      <c r="N88" s="18"/>
      <c r="O88" s="153"/>
      <c r="P88" s="153"/>
      <c r="Q88" s="153"/>
      <c r="R88" s="153"/>
      <c r="S88" s="153"/>
      <c r="T88" s="153"/>
      <c r="U88" s="153"/>
      <c r="V88" s="153"/>
      <c r="W88" s="153"/>
      <c r="X88" s="153"/>
      <c r="Y88" s="153"/>
      <c r="Z88" s="155"/>
    </row>
    <row r="89" spans="1:26" s="5" customFormat="1" ht="31.5" customHeight="1" x14ac:dyDescent="0.25">
      <c r="A89" s="138"/>
      <c r="B89" s="16" t="s">
        <v>35</v>
      </c>
      <c r="C89" s="17">
        <f t="shared" si="15"/>
        <v>6632975.4624000005</v>
      </c>
      <c r="D89" s="17">
        <v>0</v>
      </c>
      <c r="E89" s="17">
        <v>0</v>
      </c>
      <c r="F89" s="17">
        <v>0</v>
      </c>
      <c r="G89" s="17">
        <v>1000000</v>
      </c>
      <c r="H89" s="17">
        <f>G89*104/100</f>
        <v>1040000</v>
      </c>
      <c r="I89" s="17">
        <f>H89*104/100</f>
        <v>1081600</v>
      </c>
      <c r="J89" s="17">
        <f>I89*104/100</f>
        <v>1124864</v>
      </c>
      <c r="K89" s="17">
        <f>J89*104/100</f>
        <v>1169858.5600000001</v>
      </c>
      <c r="L89" s="17">
        <f>K89*104/100</f>
        <v>1216652.9024</v>
      </c>
      <c r="M89" s="137"/>
      <c r="N89" s="21" t="s">
        <v>82</v>
      </c>
      <c r="O89" s="19">
        <v>80</v>
      </c>
      <c r="P89" s="19">
        <v>80</v>
      </c>
      <c r="Q89" s="19">
        <v>80</v>
      </c>
      <c r="R89" s="19">
        <v>80</v>
      </c>
      <c r="S89" s="19">
        <v>80</v>
      </c>
      <c r="T89" s="19">
        <v>80</v>
      </c>
      <c r="U89" s="19">
        <v>80</v>
      </c>
      <c r="V89" s="19">
        <v>80</v>
      </c>
      <c r="W89" s="19">
        <v>80</v>
      </c>
      <c r="X89" s="19">
        <v>80</v>
      </c>
      <c r="Y89" s="19">
        <v>80</v>
      </c>
      <c r="Z89" s="19">
        <f>SUM(O89:Y89)</f>
        <v>880</v>
      </c>
    </row>
    <row r="90" spans="1:26" s="5" customFormat="1" ht="22.5" customHeight="1" x14ac:dyDescent="0.25">
      <c r="A90" s="138" t="s">
        <v>83</v>
      </c>
      <c r="B90" s="16" t="s">
        <v>30</v>
      </c>
      <c r="C90" s="17">
        <f t="shared" si="15"/>
        <v>14299341.770844402</v>
      </c>
      <c r="D90" s="17">
        <f t="shared" ref="D90:L90" si="44">D91+D92</f>
        <v>1000000</v>
      </c>
      <c r="E90" s="17">
        <f t="shared" si="44"/>
        <v>0</v>
      </c>
      <c r="F90" s="17">
        <f t="shared" si="44"/>
        <v>0</v>
      </c>
      <c r="G90" s="17">
        <f t="shared" si="44"/>
        <v>2000000</v>
      </c>
      <c r="H90" s="17">
        <f t="shared" si="44"/>
        <v>2082000</v>
      </c>
      <c r="I90" s="17">
        <f t="shared" si="44"/>
        <v>2167362</v>
      </c>
      <c r="J90" s="17">
        <f t="shared" si="44"/>
        <v>2256223.8419999997</v>
      </c>
      <c r="K90" s="17">
        <f t="shared" si="44"/>
        <v>2348729.0195219996</v>
      </c>
      <c r="L90" s="17">
        <f t="shared" si="44"/>
        <v>2445026.9093224015</v>
      </c>
      <c r="M90" s="137" t="s">
        <v>23</v>
      </c>
      <c r="N90" s="26" t="s">
        <v>84</v>
      </c>
      <c r="O90" s="145">
        <v>1</v>
      </c>
      <c r="P90" s="145">
        <v>1</v>
      </c>
      <c r="Q90" s="145">
        <v>1</v>
      </c>
      <c r="R90" s="145">
        <v>1</v>
      </c>
      <c r="S90" s="145">
        <v>1</v>
      </c>
      <c r="T90" s="145">
        <v>1</v>
      </c>
      <c r="U90" s="145">
        <v>1</v>
      </c>
      <c r="V90" s="145">
        <v>1</v>
      </c>
      <c r="W90" s="145">
        <v>1</v>
      </c>
      <c r="X90" s="145">
        <v>1</v>
      </c>
      <c r="Y90" s="145">
        <v>1</v>
      </c>
      <c r="Z90" s="148">
        <f>SUM(O90:Y92)</f>
        <v>11</v>
      </c>
    </row>
    <row r="91" spans="1:26" s="5" customFormat="1" ht="76.5" customHeight="1" x14ac:dyDescent="0.25">
      <c r="A91" s="138"/>
      <c r="B91" s="16" t="s">
        <v>33</v>
      </c>
      <c r="C91" s="17">
        <f t="shared" si="15"/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37"/>
      <c r="N91" s="26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39"/>
    </row>
    <row r="92" spans="1:26" s="5" customFormat="1" ht="33.75" customHeight="1" x14ac:dyDescent="0.25">
      <c r="A92" s="138"/>
      <c r="B92" s="16" t="s">
        <v>35</v>
      </c>
      <c r="C92" s="17">
        <f t="shared" si="15"/>
        <v>14299341.770844402</v>
      </c>
      <c r="D92" s="17">
        <v>1000000</v>
      </c>
      <c r="E92" s="17">
        <v>0</v>
      </c>
      <c r="F92" s="17">
        <v>0</v>
      </c>
      <c r="G92" s="17">
        <v>2000000</v>
      </c>
      <c r="H92" s="17">
        <f>G92*104.1/100</f>
        <v>2082000</v>
      </c>
      <c r="I92" s="17">
        <f>H92*104.1/100</f>
        <v>2167362</v>
      </c>
      <c r="J92" s="17">
        <f>I92*104.1/100</f>
        <v>2256223.8419999997</v>
      </c>
      <c r="K92" s="17">
        <f>J92*104.1/100</f>
        <v>2348729.0195219996</v>
      </c>
      <c r="L92" s="17">
        <f>K92*104.1/100</f>
        <v>2445026.9093224015</v>
      </c>
      <c r="M92" s="137"/>
      <c r="N92" s="29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39"/>
    </row>
    <row r="93" spans="1:26" s="5" customFormat="1" ht="45" hidden="1" customHeight="1" x14ac:dyDescent="0.25">
      <c r="A93" s="31" t="s">
        <v>85</v>
      </c>
      <c r="B93" s="16" t="s">
        <v>30</v>
      </c>
      <c r="C93" s="17">
        <f t="shared" si="15"/>
        <v>663297.54624000005</v>
      </c>
      <c r="D93" s="17">
        <f t="shared" ref="D93:L93" si="45">D94+D95</f>
        <v>0</v>
      </c>
      <c r="E93" s="17">
        <f t="shared" si="45"/>
        <v>0</v>
      </c>
      <c r="F93" s="17">
        <f t="shared" si="45"/>
        <v>0</v>
      </c>
      <c r="G93" s="17">
        <f t="shared" si="45"/>
        <v>100000</v>
      </c>
      <c r="H93" s="17">
        <f t="shared" si="45"/>
        <v>104000</v>
      </c>
      <c r="I93" s="17">
        <f t="shared" si="45"/>
        <v>108160</v>
      </c>
      <c r="J93" s="17">
        <f t="shared" si="45"/>
        <v>112486.39999999999</v>
      </c>
      <c r="K93" s="17">
        <f t="shared" si="45"/>
        <v>116985.856</v>
      </c>
      <c r="L93" s="17">
        <f t="shared" si="45"/>
        <v>121665.29024</v>
      </c>
      <c r="M93" s="17"/>
      <c r="N93" s="26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7"/>
    </row>
    <row r="94" spans="1:26" s="5" customFormat="1" ht="76.5" hidden="1" customHeight="1" x14ac:dyDescent="0.25">
      <c r="A94" s="36"/>
      <c r="B94" s="16" t="s">
        <v>33</v>
      </c>
      <c r="C94" s="17">
        <f t="shared" si="15"/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/>
      <c r="N94" s="26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7"/>
    </row>
    <row r="95" spans="1:26" s="5" customFormat="1" ht="40.5" hidden="1" customHeight="1" x14ac:dyDescent="0.25">
      <c r="A95" s="36"/>
      <c r="B95" s="16" t="s">
        <v>35</v>
      </c>
      <c r="C95" s="17">
        <f t="shared" si="15"/>
        <v>663297.54624000005</v>
      </c>
      <c r="D95" s="17">
        <v>0</v>
      </c>
      <c r="E95" s="17">
        <v>0</v>
      </c>
      <c r="F95" s="17">
        <v>0</v>
      </c>
      <c r="G95" s="17">
        <v>100000</v>
      </c>
      <c r="H95" s="17">
        <f>G95*104/100</f>
        <v>104000</v>
      </c>
      <c r="I95" s="17">
        <f>H95*104/100</f>
        <v>108160</v>
      </c>
      <c r="J95" s="17">
        <f>I95*104/100</f>
        <v>112486.39999999999</v>
      </c>
      <c r="K95" s="17">
        <f>J95*104/100</f>
        <v>116985.856</v>
      </c>
      <c r="L95" s="17">
        <f>K95*104/100</f>
        <v>121665.29024</v>
      </c>
      <c r="M95" s="17"/>
      <c r="N95" s="26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7"/>
    </row>
    <row r="96" spans="1:26" s="5" customFormat="1" ht="31.5" hidden="1" customHeight="1" x14ac:dyDescent="0.25">
      <c r="A96" s="31" t="s">
        <v>86</v>
      </c>
      <c r="B96" s="16" t="s">
        <v>30</v>
      </c>
      <c r="C96" s="17">
        <f t="shared" si="15"/>
        <v>0</v>
      </c>
      <c r="D96" s="17">
        <f t="shared" ref="D96:L96" si="46">D97+D98</f>
        <v>0</v>
      </c>
      <c r="E96" s="17">
        <f t="shared" si="46"/>
        <v>0</v>
      </c>
      <c r="F96" s="17">
        <f t="shared" si="46"/>
        <v>0</v>
      </c>
      <c r="G96" s="17">
        <f t="shared" si="46"/>
        <v>0</v>
      </c>
      <c r="H96" s="17">
        <f t="shared" si="46"/>
        <v>0</v>
      </c>
      <c r="I96" s="17">
        <f t="shared" si="46"/>
        <v>0</v>
      </c>
      <c r="J96" s="17">
        <f t="shared" si="46"/>
        <v>0</v>
      </c>
      <c r="K96" s="17">
        <f t="shared" si="46"/>
        <v>0</v>
      </c>
      <c r="L96" s="17">
        <f t="shared" si="46"/>
        <v>0</v>
      </c>
      <c r="M96" s="17"/>
      <c r="N96" s="26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7"/>
    </row>
    <row r="97" spans="1:26" s="5" customFormat="1" ht="69.75" hidden="1" customHeight="1" x14ac:dyDescent="0.25">
      <c r="A97" s="36"/>
      <c r="B97" s="16" t="s">
        <v>33</v>
      </c>
      <c r="C97" s="17">
        <f t="shared" si="15"/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/>
      <c r="N97" s="26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7"/>
    </row>
    <row r="98" spans="1:26" s="5" customFormat="1" ht="45" hidden="1" customHeight="1" x14ac:dyDescent="0.25">
      <c r="A98" s="36"/>
      <c r="B98" s="16" t="s">
        <v>35</v>
      </c>
      <c r="C98" s="17">
        <f t="shared" si="15"/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/>
      <c r="N98" s="26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7"/>
    </row>
    <row r="99" spans="1:26" s="5" customFormat="1" ht="33" hidden="1" customHeight="1" x14ac:dyDescent="0.25">
      <c r="A99" s="31" t="s">
        <v>87</v>
      </c>
      <c r="B99" s="16" t="s">
        <v>30</v>
      </c>
      <c r="C99" s="17">
        <f t="shared" si="15"/>
        <v>18773975.506585617</v>
      </c>
      <c r="D99" s="17">
        <f t="shared" ref="D99:L99" si="47">D100+D101</f>
        <v>1115666.67</v>
      </c>
      <c r="E99" s="17">
        <f t="shared" si="47"/>
        <v>400000</v>
      </c>
      <c r="F99" s="17">
        <f t="shared" si="47"/>
        <v>400000</v>
      </c>
      <c r="G99" s="17">
        <f t="shared" si="47"/>
        <v>2654800</v>
      </c>
      <c r="H99" s="17">
        <f t="shared" si="47"/>
        <v>2713381.6</v>
      </c>
      <c r="I99" s="17">
        <f t="shared" si="47"/>
        <v>2774423.6272</v>
      </c>
      <c r="J99" s="17">
        <f t="shared" si="47"/>
        <v>2838029.4195424002</v>
      </c>
      <c r="K99" s="17">
        <f t="shared" si="47"/>
        <v>2904306.655163181</v>
      </c>
      <c r="L99" s="17">
        <f t="shared" si="47"/>
        <v>2973367.5346800345</v>
      </c>
      <c r="M99" s="17"/>
      <c r="N99" s="26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7"/>
    </row>
    <row r="100" spans="1:26" s="5" customFormat="1" ht="69.75" hidden="1" customHeight="1" x14ac:dyDescent="0.25">
      <c r="A100" s="36"/>
      <c r="B100" s="16" t="s">
        <v>33</v>
      </c>
      <c r="C100" s="17">
        <f t="shared" si="15"/>
        <v>8564100</v>
      </c>
      <c r="D100" s="17">
        <v>1004100</v>
      </c>
      <c r="E100" s="17">
        <v>0</v>
      </c>
      <c r="F100" s="17">
        <v>0</v>
      </c>
      <c r="G100" s="17">
        <v>1260000</v>
      </c>
      <c r="H100" s="17">
        <v>1260000</v>
      </c>
      <c r="I100" s="17">
        <v>1260000</v>
      </c>
      <c r="J100" s="17">
        <v>1260000</v>
      </c>
      <c r="K100" s="17">
        <v>1260000</v>
      </c>
      <c r="L100" s="17">
        <v>1260000</v>
      </c>
      <c r="M100" s="17"/>
      <c r="N100" s="26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7"/>
    </row>
    <row r="101" spans="1:26" s="5" customFormat="1" ht="55.5" hidden="1" customHeight="1" x14ac:dyDescent="0.25">
      <c r="A101" s="36"/>
      <c r="B101" s="16" t="s">
        <v>35</v>
      </c>
      <c r="C101" s="17">
        <f t="shared" si="15"/>
        <v>10209875.506585617</v>
      </c>
      <c r="D101" s="17">
        <v>111566.67</v>
      </c>
      <c r="E101" s="17">
        <v>400000</v>
      </c>
      <c r="F101" s="17">
        <v>400000</v>
      </c>
      <c r="G101" s="17">
        <f>1394800</f>
        <v>1394800</v>
      </c>
      <c r="H101" s="17">
        <f>G101*104.2/100</f>
        <v>1453381.6</v>
      </c>
      <c r="I101" s="17">
        <f>H101*104.2/100</f>
        <v>1514423.6272000002</v>
      </c>
      <c r="J101" s="17">
        <f>I101*104.2/100</f>
        <v>1578029.4195424002</v>
      </c>
      <c r="K101" s="17">
        <f>J101*104.2/100</f>
        <v>1644306.655163181</v>
      </c>
      <c r="L101" s="17">
        <f>K101*104.2/100</f>
        <v>1713367.5346800345</v>
      </c>
      <c r="M101" s="17"/>
      <c r="N101" s="26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7"/>
    </row>
    <row r="102" spans="1:26" s="5" customFormat="1" ht="70.5" hidden="1" customHeight="1" x14ac:dyDescent="0.25">
      <c r="A102" s="31" t="s">
        <v>88</v>
      </c>
      <c r="B102" s="16" t="s">
        <v>30</v>
      </c>
      <c r="C102" s="17">
        <f t="shared" si="15"/>
        <v>0</v>
      </c>
      <c r="D102" s="17">
        <f t="shared" ref="D102:L102" si="48">D103+D104</f>
        <v>0</v>
      </c>
      <c r="E102" s="17">
        <f t="shared" si="48"/>
        <v>0</v>
      </c>
      <c r="F102" s="17">
        <f t="shared" si="48"/>
        <v>0</v>
      </c>
      <c r="G102" s="17">
        <f t="shared" si="48"/>
        <v>0</v>
      </c>
      <c r="H102" s="17">
        <f t="shared" si="48"/>
        <v>0</v>
      </c>
      <c r="I102" s="17">
        <f t="shared" si="48"/>
        <v>0</v>
      </c>
      <c r="J102" s="17">
        <f t="shared" si="48"/>
        <v>0</v>
      </c>
      <c r="K102" s="17">
        <f t="shared" si="48"/>
        <v>0</v>
      </c>
      <c r="L102" s="17">
        <f t="shared" si="48"/>
        <v>0</v>
      </c>
      <c r="M102" s="17"/>
      <c r="N102" s="26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7"/>
    </row>
    <row r="103" spans="1:26" s="5" customFormat="1" ht="81.75" hidden="1" customHeight="1" x14ac:dyDescent="0.25">
      <c r="A103" s="36"/>
      <c r="B103" s="16" t="s">
        <v>33</v>
      </c>
      <c r="C103" s="17">
        <f t="shared" ref="C103:C129" si="49">SUM(D103:L103)</f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/>
      <c r="N103" s="26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7"/>
    </row>
    <row r="104" spans="1:26" s="5" customFormat="1" ht="69.75" hidden="1" customHeight="1" x14ac:dyDescent="0.25">
      <c r="A104" s="36"/>
      <c r="B104" s="16" t="s">
        <v>35</v>
      </c>
      <c r="C104" s="17">
        <f t="shared" si="49"/>
        <v>0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/>
      <c r="N104" s="26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7"/>
    </row>
    <row r="105" spans="1:26" s="5" customFormat="1" ht="48" hidden="1" customHeight="1" x14ac:dyDescent="0.25">
      <c r="A105" s="31" t="s">
        <v>89</v>
      </c>
      <c r="B105" s="16" t="s">
        <v>30</v>
      </c>
      <c r="C105" s="17">
        <f t="shared" si="49"/>
        <v>0</v>
      </c>
      <c r="D105" s="17">
        <f t="shared" ref="D105:L105" si="50">D106+D107</f>
        <v>0</v>
      </c>
      <c r="E105" s="17">
        <f t="shared" si="50"/>
        <v>0</v>
      </c>
      <c r="F105" s="17">
        <f t="shared" si="50"/>
        <v>0</v>
      </c>
      <c r="G105" s="17">
        <f t="shared" si="50"/>
        <v>0</v>
      </c>
      <c r="H105" s="17">
        <f t="shared" si="50"/>
        <v>0</v>
      </c>
      <c r="I105" s="17">
        <f t="shared" si="50"/>
        <v>0</v>
      </c>
      <c r="J105" s="17">
        <f t="shared" si="50"/>
        <v>0</v>
      </c>
      <c r="K105" s="17">
        <f t="shared" si="50"/>
        <v>0</v>
      </c>
      <c r="L105" s="17">
        <f t="shared" si="50"/>
        <v>0</v>
      </c>
      <c r="M105" s="17"/>
      <c r="N105" s="26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7"/>
    </row>
    <row r="106" spans="1:26" s="5" customFormat="1" ht="76.5" hidden="1" customHeight="1" x14ac:dyDescent="0.25">
      <c r="A106" s="36"/>
      <c r="B106" s="16" t="s">
        <v>33</v>
      </c>
      <c r="C106" s="17">
        <f t="shared" si="49"/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/>
      <c r="N106" s="26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7"/>
    </row>
    <row r="107" spans="1:26" s="5" customFormat="1" ht="48" hidden="1" customHeight="1" x14ac:dyDescent="0.25">
      <c r="A107" s="36"/>
      <c r="B107" s="16" t="s">
        <v>35</v>
      </c>
      <c r="C107" s="17">
        <f t="shared" si="49"/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/>
      <c r="N107" s="26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7"/>
    </row>
    <row r="108" spans="1:26" s="5" customFormat="1" ht="35.25" hidden="1" customHeight="1" x14ac:dyDescent="0.25">
      <c r="A108" s="31" t="s">
        <v>90</v>
      </c>
      <c r="B108" s="16" t="s">
        <v>30</v>
      </c>
      <c r="C108" s="17">
        <f t="shared" si="49"/>
        <v>0</v>
      </c>
      <c r="D108" s="17">
        <f t="shared" ref="D108:L108" si="51">D109+D110</f>
        <v>0</v>
      </c>
      <c r="E108" s="17">
        <f t="shared" si="51"/>
        <v>0</v>
      </c>
      <c r="F108" s="17">
        <f t="shared" si="51"/>
        <v>0</v>
      </c>
      <c r="G108" s="17">
        <f t="shared" si="51"/>
        <v>0</v>
      </c>
      <c r="H108" s="17">
        <f t="shared" si="51"/>
        <v>0</v>
      </c>
      <c r="I108" s="17">
        <f t="shared" si="51"/>
        <v>0</v>
      </c>
      <c r="J108" s="17">
        <f t="shared" si="51"/>
        <v>0</v>
      </c>
      <c r="K108" s="17">
        <f t="shared" si="51"/>
        <v>0</v>
      </c>
      <c r="L108" s="17">
        <f t="shared" si="51"/>
        <v>0</v>
      </c>
      <c r="M108" s="17"/>
      <c r="N108" s="26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7"/>
    </row>
    <row r="109" spans="1:26" s="5" customFormat="1" ht="66.75" hidden="1" customHeight="1" x14ac:dyDescent="0.25">
      <c r="A109" s="36"/>
      <c r="B109" s="16" t="s">
        <v>33</v>
      </c>
      <c r="C109" s="17">
        <f t="shared" si="49"/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/>
      <c r="N109" s="26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7"/>
    </row>
    <row r="110" spans="1:26" s="5" customFormat="1" ht="38.25" hidden="1" customHeight="1" x14ac:dyDescent="0.25">
      <c r="A110" s="36"/>
      <c r="B110" s="16" t="s">
        <v>35</v>
      </c>
      <c r="C110" s="17">
        <f t="shared" si="49"/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/>
      <c r="N110" s="26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7"/>
    </row>
    <row r="111" spans="1:26" s="5" customFormat="1" ht="45.75" hidden="1" customHeight="1" x14ac:dyDescent="0.25">
      <c r="A111" s="16" t="s">
        <v>91</v>
      </c>
      <c r="B111" s="16" t="s">
        <v>30</v>
      </c>
      <c r="C111" s="17">
        <f t="shared" si="49"/>
        <v>3316487.7312000003</v>
      </c>
      <c r="D111" s="17">
        <f t="shared" ref="D111:L111" si="52">D112+D113</f>
        <v>0</v>
      </c>
      <c r="E111" s="17">
        <f t="shared" si="52"/>
        <v>0</v>
      </c>
      <c r="F111" s="17">
        <f t="shared" si="52"/>
        <v>0</v>
      </c>
      <c r="G111" s="17">
        <f t="shared" si="52"/>
        <v>500000</v>
      </c>
      <c r="H111" s="17">
        <f t="shared" si="52"/>
        <v>520000</v>
      </c>
      <c r="I111" s="17">
        <f t="shared" si="52"/>
        <v>540800</v>
      </c>
      <c r="J111" s="17">
        <f t="shared" si="52"/>
        <v>562432</v>
      </c>
      <c r="K111" s="17">
        <f t="shared" si="52"/>
        <v>584929.28000000003</v>
      </c>
      <c r="L111" s="17">
        <f t="shared" si="52"/>
        <v>608326.45120000001</v>
      </c>
      <c r="M111" s="17"/>
      <c r="N111" s="26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7"/>
    </row>
    <row r="112" spans="1:26" s="5" customFormat="1" ht="97.5" hidden="1" customHeight="1" x14ac:dyDescent="0.25">
      <c r="A112" s="36"/>
      <c r="B112" s="16" t="s">
        <v>33</v>
      </c>
      <c r="C112" s="17">
        <f t="shared" si="49"/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/>
      <c r="N112" s="26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7"/>
    </row>
    <row r="113" spans="1:26" s="5" customFormat="1" ht="55.5" hidden="1" customHeight="1" x14ac:dyDescent="0.25">
      <c r="A113" s="16" t="s">
        <v>92</v>
      </c>
      <c r="B113" s="16" t="s">
        <v>35</v>
      </c>
      <c r="C113" s="17">
        <f t="shared" si="49"/>
        <v>3316487.7312000003</v>
      </c>
      <c r="D113" s="17">
        <v>0</v>
      </c>
      <c r="E113" s="17">
        <v>0</v>
      </c>
      <c r="F113" s="17">
        <v>0</v>
      </c>
      <c r="G113" s="17">
        <v>500000</v>
      </c>
      <c r="H113" s="17">
        <f>G113*104/100</f>
        <v>520000</v>
      </c>
      <c r="I113" s="17">
        <f>H113*104/100</f>
        <v>540800</v>
      </c>
      <c r="J113" s="17">
        <f>I113*104/100</f>
        <v>562432</v>
      </c>
      <c r="K113" s="17">
        <f>J113*104/100</f>
        <v>584929.28000000003</v>
      </c>
      <c r="L113" s="17">
        <f>K113*104/100</f>
        <v>608326.45120000001</v>
      </c>
      <c r="M113" s="17"/>
      <c r="N113" s="26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7"/>
    </row>
    <row r="114" spans="1:26" s="5" customFormat="1" ht="45" hidden="1" customHeight="1" x14ac:dyDescent="0.25">
      <c r="A114" s="16" t="s">
        <v>93</v>
      </c>
      <c r="B114" s="16" t="s">
        <v>30</v>
      </c>
      <c r="C114" s="17">
        <f t="shared" si="49"/>
        <v>663297.54624000005</v>
      </c>
      <c r="D114" s="17">
        <f t="shared" ref="D114:L114" si="53">D115+D116</f>
        <v>0</v>
      </c>
      <c r="E114" s="17">
        <f t="shared" si="53"/>
        <v>0</v>
      </c>
      <c r="F114" s="17">
        <f t="shared" si="53"/>
        <v>0</v>
      </c>
      <c r="G114" s="17">
        <f t="shared" si="53"/>
        <v>100000</v>
      </c>
      <c r="H114" s="17">
        <f t="shared" si="53"/>
        <v>104000</v>
      </c>
      <c r="I114" s="17">
        <f t="shared" si="53"/>
        <v>108160</v>
      </c>
      <c r="J114" s="17">
        <f t="shared" si="53"/>
        <v>112486.39999999999</v>
      </c>
      <c r="K114" s="17">
        <f t="shared" si="53"/>
        <v>116985.856</v>
      </c>
      <c r="L114" s="17">
        <f t="shared" si="53"/>
        <v>121665.29024</v>
      </c>
      <c r="M114" s="17"/>
      <c r="N114" s="26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7"/>
    </row>
    <row r="115" spans="1:26" s="5" customFormat="1" ht="69.75" hidden="1" customHeight="1" x14ac:dyDescent="0.25">
      <c r="A115" s="36"/>
      <c r="B115" s="16" t="s">
        <v>33</v>
      </c>
      <c r="C115" s="17">
        <f t="shared" si="49"/>
        <v>0</v>
      </c>
      <c r="D115" s="17">
        <v>0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/>
      <c r="N115" s="26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7"/>
    </row>
    <row r="116" spans="1:26" s="5" customFormat="1" ht="55.5" hidden="1" customHeight="1" x14ac:dyDescent="0.25">
      <c r="A116" s="36"/>
      <c r="B116" s="16" t="s">
        <v>35</v>
      </c>
      <c r="C116" s="17">
        <f t="shared" si="49"/>
        <v>663297.54624000005</v>
      </c>
      <c r="D116" s="17">
        <v>0</v>
      </c>
      <c r="E116" s="17">
        <v>0</v>
      </c>
      <c r="F116" s="17">
        <v>0</v>
      </c>
      <c r="G116" s="17">
        <v>100000</v>
      </c>
      <c r="H116" s="17">
        <f>G116*104/100</f>
        <v>104000</v>
      </c>
      <c r="I116" s="17">
        <f>H116*104/100</f>
        <v>108160</v>
      </c>
      <c r="J116" s="17">
        <f>I116*104/100</f>
        <v>112486.39999999999</v>
      </c>
      <c r="K116" s="17">
        <f>J116*104/100</f>
        <v>116985.856</v>
      </c>
      <c r="L116" s="17">
        <f>K116*104/100</f>
        <v>121665.29024</v>
      </c>
      <c r="M116" s="17"/>
      <c r="N116" s="26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7"/>
    </row>
    <row r="117" spans="1:26" s="5" customFormat="1" ht="32.25" hidden="1" customHeight="1" x14ac:dyDescent="0.25">
      <c r="A117" s="16" t="s">
        <v>94</v>
      </c>
      <c r="B117" s="16" t="s">
        <v>30</v>
      </c>
      <c r="C117" s="17">
        <f t="shared" si="49"/>
        <v>9999615.1813008487</v>
      </c>
      <c r="D117" s="17">
        <f t="shared" ref="D117:L117" si="54">D118+D119</f>
        <v>0</v>
      </c>
      <c r="E117" s="17">
        <f t="shared" si="54"/>
        <v>0</v>
      </c>
      <c r="F117" s="17">
        <f t="shared" si="54"/>
        <v>0</v>
      </c>
      <c r="G117" s="17">
        <f t="shared" si="54"/>
        <v>1500000</v>
      </c>
      <c r="H117" s="17">
        <f t="shared" si="54"/>
        <v>1563000</v>
      </c>
      <c r="I117" s="17">
        <f t="shared" si="54"/>
        <v>1628646</v>
      </c>
      <c r="J117" s="17">
        <f t="shared" si="54"/>
        <v>1697049.1320000002</v>
      </c>
      <c r="K117" s="17">
        <f t="shared" si="54"/>
        <v>1768325.1955440002</v>
      </c>
      <c r="L117" s="17">
        <f t="shared" si="54"/>
        <v>1842594.8537568483</v>
      </c>
      <c r="M117" s="17"/>
      <c r="N117" s="26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7"/>
    </row>
    <row r="118" spans="1:26" s="5" customFormat="1" ht="55.5" hidden="1" customHeight="1" x14ac:dyDescent="0.25">
      <c r="A118" s="36"/>
      <c r="B118" s="16" t="s">
        <v>33</v>
      </c>
      <c r="C118" s="17">
        <f t="shared" si="49"/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/>
      <c r="N118" s="26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7"/>
    </row>
    <row r="119" spans="1:26" s="5" customFormat="1" ht="55.5" hidden="1" customHeight="1" x14ac:dyDescent="0.25">
      <c r="A119" s="36"/>
      <c r="B119" s="16" t="s">
        <v>35</v>
      </c>
      <c r="C119" s="17">
        <f t="shared" si="49"/>
        <v>9999615.1813008487</v>
      </c>
      <c r="D119" s="17">
        <v>0</v>
      </c>
      <c r="E119" s="17">
        <v>0</v>
      </c>
      <c r="F119" s="17">
        <v>0</v>
      </c>
      <c r="G119" s="17">
        <v>1500000</v>
      </c>
      <c r="H119" s="17">
        <f>G119*104.2/100</f>
        <v>1563000</v>
      </c>
      <c r="I119" s="17">
        <f>H119*104.2/100</f>
        <v>1628646</v>
      </c>
      <c r="J119" s="17">
        <f>I119*104.2/100</f>
        <v>1697049.1320000002</v>
      </c>
      <c r="K119" s="17">
        <f>J119*104.2/100</f>
        <v>1768325.1955440002</v>
      </c>
      <c r="L119" s="17">
        <f>K119*104.2/100</f>
        <v>1842594.8537568483</v>
      </c>
      <c r="M119" s="17"/>
      <c r="N119" s="26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7"/>
    </row>
    <row r="120" spans="1:26" s="5" customFormat="1" ht="55.5" hidden="1" customHeight="1" x14ac:dyDescent="0.25">
      <c r="A120" s="31" t="s">
        <v>95</v>
      </c>
      <c r="B120" s="16" t="s">
        <v>30</v>
      </c>
      <c r="C120" s="17">
        <f t="shared" si="49"/>
        <v>663297.54624000005</v>
      </c>
      <c r="D120" s="17">
        <f t="shared" ref="D120:L120" si="55">D121+D122</f>
        <v>0</v>
      </c>
      <c r="E120" s="17">
        <f t="shared" si="55"/>
        <v>0</v>
      </c>
      <c r="F120" s="17">
        <f t="shared" si="55"/>
        <v>0</v>
      </c>
      <c r="G120" s="17">
        <f t="shared" si="55"/>
        <v>100000</v>
      </c>
      <c r="H120" s="17">
        <f t="shared" si="55"/>
        <v>104000</v>
      </c>
      <c r="I120" s="17">
        <f t="shared" si="55"/>
        <v>108160</v>
      </c>
      <c r="J120" s="17">
        <f t="shared" si="55"/>
        <v>112486.39999999999</v>
      </c>
      <c r="K120" s="17">
        <f t="shared" si="55"/>
        <v>116985.856</v>
      </c>
      <c r="L120" s="17">
        <f t="shared" si="55"/>
        <v>121665.29024</v>
      </c>
      <c r="M120" s="17"/>
      <c r="N120" s="26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7"/>
    </row>
    <row r="121" spans="1:26" s="5" customFormat="1" ht="55.5" hidden="1" customHeight="1" x14ac:dyDescent="0.25">
      <c r="A121" s="36"/>
      <c r="B121" s="16" t="s">
        <v>33</v>
      </c>
      <c r="C121" s="17">
        <f t="shared" si="49"/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/>
      <c r="N121" s="26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7"/>
    </row>
    <row r="122" spans="1:26" s="5" customFormat="1" ht="55.5" hidden="1" customHeight="1" x14ac:dyDescent="0.25">
      <c r="A122" s="36"/>
      <c r="B122" s="16" t="s">
        <v>35</v>
      </c>
      <c r="C122" s="17">
        <f t="shared" si="49"/>
        <v>663297.54624000005</v>
      </c>
      <c r="D122" s="17">
        <v>0</v>
      </c>
      <c r="E122" s="17">
        <v>0</v>
      </c>
      <c r="F122" s="17">
        <v>0</v>
      </c>
      <c r="G122" s="17">
        <v>100000</v>
      </c>
      <c r="H122" s="17">
        <f>G122*104/100</f>
        <v>104000</v>
      </c>
      <c r="I122" s="17">
        <f>H122*104/100</f>
        <v>108160</v>
      </c>
      <c r="J122" s="17">
        <f>I122*104/100</f>
        <v>112486.39999999999</v>
      </c>
      <c r="K122" s="17">
        <f>J122*104/100</f>
        <v>116985.856</v>
      </c>
      <c r="L122" s="17">
        <f>K122*104/100</f>
        <v>121665.29024</v>
      </c>
      <c r="M122" s="17"/>
      <c r="N122" s="26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7"/>
    </row>
    <row r="123" spans="1:26" s="5" customFormat="1" ht="55.5" hidden="1" customHeight="1" x14ac:dyDescent="0.25">
      <c r="A123" s="31" t="s">
        <v>96</v>
      </c>
      <c r="B123" s="16" t="s">
        <v>30</v>
      </c>
      <c r="C123" s="17">
        <f t="shared" si="49"/>
        <v>0</v>
      </c>
      <c r="D123" s="17">
        <f t="shared" ref="D123:L123" si="56">D124+D125</f>
        <v>0</v>
      </c>
      <c r="E123" s="17">
        <f t="shared" si="56"/>
        <v>0</v>
      </c>
      <c r="F123" s="17">
        <f t="shared" si="56"/>
        <v>0</v>
      </c>
      <c r="G123" s="17">
        <f t="shared" si="56"/>
        <v>0</v>
      </c>
      <c r="H123" s="17">
        <f t="shared" si="56"/>
        <v>0</v>
      </c>
      <c r="I123" s="17">
        <f t="shared" si="56"/>
        <v>0</v>
      </c>
      <c r="J123" s="17">
        <f t="shared" si="56"/>
        <v>0</v>
      </c>
      <c r="K123" s="17">
        <f t="shared" si="56"/>
        <v>0</v>
      </c>
      <c r="L123" s="17">
        <f t="shared" si="56"/>
        <v>0</v>
      </c>
      <c r="M123" s="17"/>
      <c r="N123" s="26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7"/>
    </row>
    <row r="124" spans="1:26" s="5" customFormat="1" ht="55.5" hidden="1" customHeight="1" x14ac:dyDescent="0.25">
      <c r="A124" s="36"/>
      <c r="B124" s="16" t="s">
        <v>33</v>
      </c>
      <c r="C124" s="17">
        <f t="shared" si="49"/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/>
      <c r="N124" s="26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7"/>
    </row>
    <row r="125" spans="1:26" s="5" customFormat="1" ht="55.5" hidden="1" customHeight="1" x14ac:dyDescent="0.25">
      <c r="A125" s="36"/>
      <c r="B125" s="16" t="s">
        <v>35</v>
      </c>
      <c r="C125" s="17">
        <f t="shared" si="49"/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/>
      <c r="N125" s="26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7"/>
    </row>
    <row r="126" spans="1:26" s="5" customFormat="1" ht="38.25" hidden="1" customHeight="1" x14ac:dyDescent="0.25">
      <c r="A126" s="31" t="s">
        <v>97</v>
      </c>
      <c r="B126" s="16" t="s">
        <v>30</v>
      </c>
      <c r="C126" s="17">
        <f t="shared" si="49"/>
        <v>1658243.8656000001</v>
      </c>
      <c r="D126" s="17">
        <f t="shared" ref="D126:L126" si="57">D127+D128</f>
        <v>0</v>
      </c>
      <c r="E126" s="17">
        <f t="shared" si="57"/>
        <v>0</v>
      </c>
      <c r="F126" s="17">
        <f t="shared" si="57"/>
        <v>0</v>
      </c>
      <c r="G126" s="17">
        <f t="shared" si="57"/>
        <v>250000</v>
      </c>
      <c r="H126" s="17">
        <f t="shared" si="57"/>
        <v>260000</v>
      </c>
      <c r="I126" s="17">
        <f t="shared" si="57"/>
        <v>270400</v>
      </c>
      <c r="J126" s="17">
        <f t="shared" si="57"/>
        <v>281216</v>
      </c>
      <c r="K126" s="17">
        <f t="shared" si="57"/>
        <v>292464.64000000001</v>
      </c>
      <c r="L126" s="17">
        <f t="shared" si="57"/>
        <v>304163.22560000001</v>
      </c>
      <c r="M126" s="17"/>
      <c r="N126" s="26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7"/>
    </row>
    <row r="127" spans="1:26" s="5" customFormat="1" ht="62.25" hidden="1" customHeight="1" x14ac:dyDescent="0.25">
      <c r="A127" s="36"/>
      <c r="B127" s="16" t="s">
        <v>33</v>
      </c>
      <c r="C127" s="17">
        <f t="shared" si="49"/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/>
      <c r="N127" s="26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7"/>
    </row>
    <row r="128" spans="1:26" s="5" customFormat="1" ht="55.5" hidden="1" customHeight="1" x14ac:dyDescent="0.25">
      <c r="A128" s="36"/>
      <c r="B128" s="16" t="s">
        <v>35</v>
      </c>
      <c r="C128" s="17">
        <f t="shared" si="49"/>
        <v>1658243.8656000001</v>
      </c>
      <c r="D128" s="17">
        <v>0</v>
      </c>
      <c r="E128" s="17">
        <v>0</v>
      </c>
      <c r="F128" s="17">
        <v>0</v>
      </c>
      <c r="G128" s="17">
        <v>250000</v>
      </c>
      <c r="H128" s="17">
        <f>G128*104/100</f>
        <v>260000</v>
      </c>
      <c r="I128" s="17">
        <f>H128*104/100</f>
        <v>270400</v>
      </c>
      <c r="J128" s="17">
        <f>I128*104/100</f>
        <v>281216</v>
      </c>
      <c r="K128" s="17">
        <f>J128*104/100</f>
        <v>292464.64000000001</v>
      </c>
      <c r="L128" s="17">
        <f>K128*104/100</f>
        <v>304163.22560000001</v>
      </c>
      <c r="M128" s="17"/>
      <c r="N128" s="26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7"/>
    </row>
    <row r="129" spans="1:32" s="5" customFormat="1" ht="33.75" customHeight="1" x14ac:dyDescent="0.25">
      <c r="A129" s="149" t="s">
        <v>98</v>
      </c>
      <c r="B129" s="16" t="s">
        <v>30</v>
      </c>
      <c r="C129" s="17">
        <f t="shared" si="49"/>
        <v>37272658.597481698</v>
      </c>
      <c r="D129" s="17">
        <f>D130+D131</f>
        <v>2762747.42</v>
      </c>
      <c r="E129" s="17">
        <f t="shared" ref="E129:L129" si="58">E130+E131</f>
        <v>275555.13</v>
      </c>
      <c r="F129" s="17">
        <f t="shared" si="58"/>
        <v>275555.13</v>
      </c>
      <c r="G129" s="17">
        <f t="shared" si="58"/>
        <v>5200000</v>
      </c>
      <c r="H129" s="17">
        <f t="shared" si="58"/>
        <v>5374000</v>
      </c>
      <c r="I129" s="17">
        <f t="shared" si="58"/>
        <v>5555212</v>
      </c>
      <c r="J129" s="17">
        <f t="shared" si="58"/>
        <v>5743935.0640000002</v>
      </c>
      <c r="K129" s="17">
        <f t="shared" si="58"/>
        <v>5940480.6630880004</v>
      </c>
      <c r="L129" s="17">
        <f t="shared" si="58"/>
        <v>6145173.1903936965</v>
      </c>
      <c r="M129" s="139" t="s">
        <v>23</v>
      </c>
      <c r="N129" s="26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7"/>
    </row>
    <row r="130" spans="1:32" s="5" customFormat="1" ht="69" customHeight="1" x14ac:dyDescent="0.25">
      <c r="A130" s="149"/>
      <c r="B130" s="16" t="s">
        <v>33</v>
      </c>
      <c r="C130" s="17">
        <f t="shared" ref="C130:L131" si="59">C133+C136</f>
        <v>1257600</v>
      </c>
      <c r="D130" s="17">
        <f t="shared" si="59"/>
        <v>1257600</v>
      </c>
      <c r="E130" s="17">
        <f t="shared" si="59"/>
        <v>0</v>
      </c>
      <c r="F130" s="17">
        <f t="shared" si="59"/>
        <v>0</v>
      </c>
      <c r="G130" s="17">
        <v>1000000</v>
      </c>
      <c r="H130" s="17">
        <v>1000000</v>
      </c>
      <c r="I130" s="17">
        <v>1000000</v>
      </c>
      <c r="J130" s="17">
        <v>1000000</v>
      </c>
      <c r="K130" s="17">
        <v>1000000</v>
      </c>
      <c r="L130" s="17">
        <v>1000000</v>
      </c>
      <c r="M130" s="139"/>
      <c r="N130" s="26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7"/>
    </row>
    <row r="131" spans="1:32" s="5" customFormat="1" ht="45" customHeight="1" x14ac:dyDescent="0.25">
      <c r="A131" s="149"/>
      <c r="B131" s="16" t="s">
        <v>35</v>
      </c>
      <c r="C131" s="17">
        <f t="shared" si="59"/>
        <v>30015058.597481698</v>
      </c>
      <c r="D131" s="17">
        <f t="shared" si="59"/>
        <v>1505147.42</v>
      </c>
      <c r="E131" s="17">
        <f t="shared" si="59"/>
        <v>275555.13</v>
      </c>
      <c r="F131" s="17">
        <f t="shared" si="59"/>
        <v>275555.13</v>
      </c>
      <c r="G131" s="17">
        <f t="shared" si="59"/>
        <v>4200000</v>
      </c>
      <c r="H131" s="17">
        <f t="shared" si="59"/>
        <v>4374000</v>
      </c>
      <c r="I131" s="17">
        <f t="shared" si="59"/>
        <v>4555212</v>
      </c>
      <c r="J131" s="17">
        <f t="shared" si="59"/>
        <v>4743935.0640000002</v>
      </c>
      <c r="K131" s="17">
        <f t="shared" si="59"/>
        <v>4940480.6630880004</v>
      </c>
      <c r="L131" s="17">
        <f t="shared" si="59"/>
        <v>5145173.1903936965</v>
      </c>
      <c r="M131" s="139"/>
      <c r="N131" s="26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7"/>
    </row>
    <row r="132" spans="1:32" s="5" customFormat="1" ht="54.75" customHeight="1" x14ac:dyDescent="0.25">
      <c r="A132" s="138" t="s">
        <v>99</v>
      </c>
      <c r="B132" s="16" t="s">
        <v>30</v>
      </c>
      <c r="C132" s="17">
        <f t="shared" ref="C132:C158" si="60">SUM(D132:L132)</f>
        <v>10273428.23488</v>
      </c>
      <c r="D132" s="17">
        <f t="shared" ref="D132:L132" si="61">D133+D134</f>
        <v>1762747.42</v>
      </c>
      <c r="E132" s="17">
        <f t="shared" si="61"/>
        <v>275555.13</v>
      </c>
      <c r="F132" s="17">
        <f t="shared" si="61"/>
        <v>275555.13</v>
      </c>
      <c r="G132" s="17">
        <f t="shared" si="61"/>
        <v>1200000</v>
      </c>
      <c r="H132" s="17">
        <f t="shared" si="61"/>
        <v>1248000</v>
      </c>
      <c r="I132" s="17">
        <f t="shared" si="61"/>
        <v>1297920</v>
      </c>
      <c r="J132" s="17">
        <f t="shared" si="61"/>
        <v>1349836.8</v>
      </c>
      <c r="K132" s="17">
        <f t="shared" si="61"/>
        <v>1403830.2720000001</v>
      </c>
      <c r="L132" s="17">
        <f t="shared" si="61"/>
        <v>1459983.4828800003</v>
      </c>
      <c r="M132" s="137" t="s">
        <v>23</v>
      </c>
      <c r="N132" s="26" t="s">
        <v>61</v>
      </c>
      <c r="O132" s="148" t="e">
        <f>(#REF!/300000)</f>
        <v>#REF!</v>
      </c>
      <c r="P132" s="148" t="e">
        <f>(#REF!/200000)</f>
        <v>#REF!</v>
      </c>
      <c r="Q132" s="148">
        <f>(D132/200000)</f>
        <v>8.8137370999999991</v>
      </c>
      <c r="R132" s="148">
        <f t="shared" ref="R132:Y132" si="62">E132/200000</f>
        <v>1.37777565</v>
      </c>
      <c r="S132" s="148">
        <f t="shared" si="62"/>
        <v>1.37777565</v>
      </c>
      <c r="T132" s="148">
        <f t="shared" si="62"/>
        <v>6</v>
      </c>
      <c r="U132" s="148">
        <f t="shared" si="62"/>
        <v>6.24</v>
      </c>
      <c r="V132" s="148">
        <f t="shared" si="62"/>
        <v>6.4896000000000003</v>
      </c>
      <c r="W132" s="148">
        <f t="shared" si="62"/>
        <v>6.7491840000000005</v>
      </c>
      <c r="X132" s="148">
        <f t="shared" si="62"/>
        <v>7.0191513600000004</v>
      </c>
      <c r="Y132" s="148">
        <f t="shared" si="62"/>
        <v>7.2999174144000012</v>
      </c>
      <c r="Z132" s="148" t="e">
        <f>SUM(O132:Y134)</f>
        <v>#REF!</v>
      </c>
    </row>
    <row r="133" spans="1:32" s="5" customFormat="1" ht="76.5" customHeight="1" x14ac:dyDescent="0.25">
      <c r="A133" s="138"/>
      <c r="B133" s="16" t="s">
        <v>33</v>
      </c>
      <c r="C133" s="17">
        <f t="shared" si="60"/>
        <v>1257600</v>
      </c>
      <c r="D133" s="17">
        <v>1257600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37"/>
      <c r="N133" s="26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3"/>
      <c r="Z133" s="153"/>
    </row>
    <row r="134" spans="1:32" s="5" customFormat="1" ht="68.25" customHeight="1" x14ac:dyDescent="0.25">
      <c r="A134" s="138"/>
      <c r="B134" s="16" t="s">
        <v>35</v>
      </c>
      <c r="C134" s="17">
        <f t="shared" si="60"/>
        <v>9015828.2348800004</v>
      </c>
      <c r="D134" s="17">
        <v>505147.42</v>
      </c>
      <c r="E134" s="17">
        <v>275555.13</v>
      </c>
      <c r="F134" s="17">
        <v>275555.13</v>
      </c>
      <c r="G134" s="17">
        <v>1200000</v>
      </c>
      <c r="H134" s="17">
        <f>G134*104/100</f>
        <v>1248000</v>
      </c>
      <c r="I134" s="17">
        <f>H134*104/100</f>
        <v>1297920</v>
      </c>
      <c r="J134" s="17">
        <f>I134*104/100</f>
        <v>1349836.8</v>
      </c>
      <c r="K134" s="17">
        <f>J134*104/100</f>
        <v>1403830.2720000001</v>
      </c>
      <c r="L134" s="17">
        <f>K134*104/100</f>
        <v>1459983.4828800003</v>
      </c>
      <c r="M134" s="137"/>
      <c r="N134" s="29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3"/>
      <c r="Z134" s="153"/>
    </row>
    <row r="135" spans="1:32" s="41" customFormat="1" ht="25.5" customHeight="1" x14ac:dyDescent="0.25">
      <c r="A135" s="149" t="s">
        <v>100</v>
      </c>
      <c r="B135" s="16" t="s">
        <v>30</v>
      </c>
      <c r="C135" s="17">
        <f t="shared" si="60"/>
        <v>20999230.362601697</v>
      </c>
      <c r="D135" s="17">
        <f t="shared" ref="D135:L135" si="63">D136+D137</f>
        <v>1000000</v>
      </c>
      <c r="E135" s="17">
        <f t="shared" si="63"/>
        <v>0</v>
      </c>
      <c r="F135" s="17">
        <f t="shared" si="63"/>
        <v>0</v>
      </c>
      <c r="G135" s="17">
        <f t="shared" si="63"/>
        <v>3000000</v>
      </c>
      <c r="H135" s="17">
        <f t="shared" si="63"/>
        <v>3126000</v>
      </c>
      <c r="I135" s="17">
        <f t="shared" si="63"/>
        <v>3257292</v>
      </c>
      <c r="J135" s="17">
        <f t="shared" si="63"/>
        <v>3394098.2640000004</v>
      </c>
      <c r="K135" s="17">
        <f t="shared" si="63"/>
        <v>3536650.3910880005</v>
      </c>
      <c r="L135" s="17">
        <f t="shared" si="63"/>
        <v>3685189.7075136965</v>
      </c>
      <c r="M135" s="139" t="s">
        <v>23</v>
      </c>
      <c r="N135" s="38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40"/>
      <c r="AB135" s="40"/>
      <c r="AC135" s="40"/>
      <c r="AD135" s="40"/>
      <c r="AE135" s="40"/>
      <c r="AF135" s="40"/>
    </row>
    <row r="136" spans="1:32" s="41" customFormat="1" ht="66.75" customHeight="1" x14ac:dyDescent="0.25">
      <c r="A136" s="149"/>
      <c r="B136" s="16" t="s">
        <v>33</v>
      </c>
      <c r="C136" s="17">
        <f t="shared" si="60"/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39"/>
      <c r="N136" s="42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0"/>
      <c r="AB136" s="40"/>
      <c r="AC136" s="40"/>
      <c r="AD136" s="40"/>
      <c r="AE136" s="40"/>
      <c r="AF136" s="40"/>
    </row>
    <row r="137" spans="1:32" s="41" customFormat="1" ht="39.75" customHeight="1" x14ac:dyDescent="0.25">
      <c r="A137" s="149"/>
      <c r="B137" s="16" t="s">
        <v>35</v>
      </c>
      <c r="C137" s="17">
        <f t="shared" si="60"/>
        <v>20999230.362601697</v>
      </c>
      <c r="D137" s="17">
        <v>1000000</v>
      </c>
      <c r="E137" s="17">
        <v>0</v>
      </c>
      <c r="F137" s="17">
        <v>0</v>
      </c>
      <c r="G137" s="17">
        <v>3000000</v>
      </c>
      <c r="H137" s="17">
        <f>G137*104.2/100</f>
        <v>3126000</v>
      </c>
      <c r="I137" s="17">
        <f>H137*104.2/100</f>
        <v>3257292</v>
      </c>
      <c r="J137" s="17">
        <f>I137*104.2/100</f>
        <v>3394098.2640000004</v>
      </c>
      <c r="K137" s="17">
        <f>J137*104.2/100</f>
        <v>3536650.3910880005</v>
      </c>
      <c r="L137" s="17">
        <f>K137*104.2/100</f>
        <v>3685189.7075136965</v>
      </c>
      <c r="M137" s="139"/>
      <c r="N137" s="18" t="s">
        <v>101</v>
      </c>
      <c r="O137" s="19" t="e">
        <f>#REF!/1000000</f>
        <v>#REF!</v>
      </c>
      <c r="P137" s="19" t="e">
        <f>#REF!/1000000</f>
        <v>#REF!</v>
      </c>
      <c r="Q137" s="19">
        <f>D137/1000000</f>
        <v>1</v>
      </c>
      <c r="R137" s="19">
        <f t="shared" ref="R137:Y137" si="64">E137/18000</f>
        <v>0</v>
      </c>
      <c r="S137" s="19">
        <f t="shared" si="64"/>
        <v>0</v>
      </c>
      <c r="T137" s="19">
        <f t="shared" si="64"/>
        <v>166.66666666666666</v>
      </c>
      <c r="U137" s="19">
        <f t="shared" si="64"/>
        <v>173.66666666666666</v>
      </c>
      <c r="V137" s="19">
        <f t="shared" si="64"/>
        <v>180.96066666666667</v>
      </c>
      <c r="W137" s="19">
        <f t="shared" si="64"/>
        <v>188.56101466666669</v>
      </c>
      <c r="X137" s="19">
        <f t="shared" si="64"/>
        <v>196.4805772826667</v>
      </c>
      <c r="Y137" s="19">
        <f t="shared" si="64"/>
        <v>204.7327615285387</v>
      </c>
      <c r="Z137" s="19" t="e">
        <f>SUM(O137:Y137)</f>
        <v>#REF!</v>
      </c>
      <c r="AA137" s="44"/>
      <c r="AB137" s="44"/>
      <c r="AC137" s="44"/>
      <c r="AD137" s="44"/>
      <c r="AE137" s="44"/>
      <c r="AF137" s="44"/>
    </row>
    <row r="138" spans="1:32" s="41" customFormat="1" ht="61.5" customHeight="1" x14ac:dyDescent="0.25">
      <c r="A138" s="149" t="s">
        <v>102</v>
      </c>
      <c r="B138" s="16" t="s">
        <v>30</v>
      </c>
      <c r="C138" s="17">
        <f t="shared" si="60"/>
        <v>500000</v>
      </c>
      <c r="D138" s="17">
        <f t="shared" ref="D138:L138" si="65">D139+D140</f>
        <v>500000</v>
      </c>
      <c r="E138" s="17">
        <f t="shared" si="65"/>
        <v>0</v>
      </c>
      <c r="F138" s="17">
        <f t="shared" si="65"/>
        <v>0</v>
      </c>
      <c r="G138" s="17">
        <f t="shared" si="65"/>
        <v>0</v>
      </c>
      <c r="H138" s="17">
        <f t="shared" si="65"/>
        <v>0</v>
      </c>
      <c r="I138" s="17">
        <f t="shared" si="65"/>
        <v>0</v>
      </c>
      <c r="J138" s="17">
        <f t="shared" si="65"/>
        <v>0</v>
      </c>
      <c r="K138" s="17">
        <f t="shared" si="65"/>
        <v>0</v>
      </c>
      <c r="L138" s="17">
        <f t="shared" si="65"/>
        <v>0</v>
      </c>
      <c r="M138" s="156" t="s">
        <v>23</v>
      </c>
      <c r="N138" s="45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</row>
    <row r="139" spans="1:32" s="41" customFormat="1" ht="61.5" customHeight="1" x14ac:dyDescent="0.25">
      <c r="A139" s="149"/>
      <c r="B139" s="16" t="s">
        <v>33</v>
      </c>
      <c r="C139" s="17">
        <f t="shared" si="60"/>
        <v>0</v>
      </c>
      <c r="D139" s="17">
        <f t="shared" ref="D139:L140" si="66">D142+D145+D148+D154</f>
        <v>0</v>
      </c>
      <c r="E139" s="17">
        <f t="shared" si="66"/>
        <v>0</v>
      </c>
      <c r="F139" s="17">
        <f t="shared" si="66"/>
        <v>0</v>
      </c>
      <c r="G139" s="17">
        <f t="shared" si="66"/>
        <v>0</v>
      </c>
      <c r="H139" s="17">
        <f t="shared" si="66"/>
        <v>0</v>
      </c>
      <c r="I139" s="17">
        <f t="shared" si="66"/>
        <v>0</v>
      </c>
      <c r="J139" s="17">
        <f t="shared" si="66"/>
        <v>0</v>
      </c>
      <c r="K139" s="17">
        <f t="shared" si="66"/>
        <v>0</v>
      </c>
      <c r="L139" s="17">
        <f t="shared" si="66"/>
        <v>0</v>
      </c>
      <c r="M139" s="156"/>
      <c r="N139" s="18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32" s="41" customFormat="1" ht="61.5" customHeight="1" x14ac:dyDescent="0.25">
      <c r="A140" s="149"/>
      <c r="B140" s="16" t="s">
        <v>35</v>
      </c>
      <c r="C140" s="17">
        <f t="shared" si="60"/>
        <v>500000</v>
      </c>
      <c r="D140" s="17">
        <v>500000</v>
      </c>
      <c r="E140" s="17">
        <f t="shared" si="66"/>
        <v>0</v>
      </c>
      <c r="F140" s="17">
        <f t="shared" si="66"/>
        <v>0</v>
      </c>
      <c r="G140" s="17">
        <f t="shared" si="66"/>
        <v>0</v>
      </c>
      <c r="H140" s="17">
        <f t="shared" si="66"/>
        <v>0</v>
      </c>
      <c r="I140" s="17">
        <f t="shared" si="66"/>
        <v>0</v>
      </c>
      <c r="J140" s="17">
        <f t="shared" si="66"/>
        <v>0</v>
      </c>
      <c r="K140" s="17">
        <f t="shared" si="66"/>
        <v>0</v>
      </c>
      <c r="L140" s="17">
        <f t="shared" si="66"/>
        <v>0</v>
      </c>
      <c r="M140" s="156"/>
      <c r="N140" s="25" t="s">
        <v>101</v>
      </c>
      <c r="O140" s="30" t="e">
        <f>#REF!/100000</f>
        <v>#REF!</v>
      </c>
      <c r="P140" s="30" t="e">
        <f>#REF!/100000</f>
        <v>#REF!</v>
      </c>
      <c r="Q140" s="30">
        <f>D95/100000</f>
        <v>0</v>
      </c>
      <c r="R140" s="30">
        <f t="shared" ref="R140:Y140" si="67">E95/18000</f>
        <v>0</v>
      </c>
      <c r="S140" s="30">
        <f t="shared" si="67"/>
        <v>0</v>
      </c>
      <c r="T140" s="30">
        <f t="shared" si="67"/>
        <v>5.5555555555555554</v>
      </c>
      <c r="U140" s="30">
        <f t="shared" si="67"/>
        <v>5.7777777777777777</v>
      </c>
      <c r="V140" s="30">
        <f t="shared" si="67"/>
        <v>6.0088888888888885</v>
      </c>
      <c r="W140" s="30">
        <f t="shared" si="67"/>
        <v>6.2492444444444439</v>
      </c>
      <c r="X140" s="30">
        <f t="shared" si="67"/>
        <v>6.4992142222222222</v>
      </c>
      <c r="Y140" s="30">
        <f t="shared" si="67"/>
        <v>6.7591827911111109</v>
      </c>
      <c r="Z140" s="30" t="e">
        <f>SUM(O140:Y140)</f>
        <v>#REF!</v>
      </c>
    </row>
    <row r="141" spans="1:32" s="41" customFormat="1" ht="29.25" hidden="1" customHeight="1" x14ac:dyDescent="0.25">
      <c r="A141" s="47" t="s">
        <v>103</v>
      </c>
      <c r="B141" s="16" t="s">
        <v>30</v>
      </c>
      <c r="C141" s="17">
        <f t="shared" si="60"/>
        <v>0</v>
      </c>
      <c r="D141" s="17">
        <f t="shared" ref="D141:L141" si="68">D142+D143</f>
        <v>0</v>
      </c>
      <c r="E141" s="17">
        <f t="shared" si="68"/>
        <v>0</v>
      </c>
      <c r="F141" s="17">
        <f t="shared" si="68"/>
        <v>0</v>
      </c>
      <c r="G141" s="17">
        <f t="shared" si="68"/>
        <v>0</v>
      </c>
      <c r="H141" s="17">
        <f t="shared" si="68"/>
        <v>0</v>
      </c>
      <c r="I141" s="17">
        <f t="shared" si="68"/>
        <v>0</v>
      </c>
      <c r="J141" s="17">
        <f t="shared" si="68"/>
        <v>0</v>
      </c>
      <c r="K141" s="17">
        <f t="shared" si="68"/>
        <v>0</v>
      </c>
      <c r="L141" s="17">
        <f t="shared" si="68"/>
        <v>0</v>
      </c>
      <c r="M141" s="48"/>
      <c r="N141" s="25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32" s="41" customFormat="1" ht="63.75" hidden="1" customHeight="1" x14ac:dyDescent="0.25">
      <c r="A142" s="47"/>
      <c r="B142" s="16" t="s">
        <v>33</v>
      </c>
      <c r="C142" s="17">
        <f t="shared" si="60"/>
        <v>0</v>
      </c>
      <c r="D142" s="17">
        <v>0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48"/>
      <c r="N142" s="25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32" s="41" customFormat="1" ht="48" hidden="1" customHeight="1" x14ac:dyDescent="0.25">
      <c r="A143" s="47"/>
      <c r="B143" s="16" t="s">
        <v>35</v>
      </c>
      <c r="C143" s="17">
        <f t="shared" si="60"/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48"/>
      <c r="N143" s="25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32" s="41" customFormat="1" ht="54" hidden="1" customHeight="1" x14ac:dyDescent="0.25">
      <c r="A144" s="47" t="s">
        <v>104</v>
      </c>
      <c r="B144" s="16" t="s">
        <v>30</v>
      </c>
      <c r="C144" s="17">
        <f t="shared" si="60"/>
        <v>0</v>
      </c>
      <c r="D144" s="17">
        <f t="shared" ref="D144:L144" si="69">D145+D146</f>
        <v>0</v>
      </c>
      <c r="E144" s="17">
        <f t="shared" si="69"/>
        <v>0</v>
      </c>
      <c r="F144" s="17">
        <f t="shared" si="69"/>
        <v>0</v>
      </c>
      <c r="G144" s="17">
        <f t="shared" si="69"/>
        <v>0</v>
      </c>
      <c r="H144" s="17">
        <f t="shared" si="69"/>
        <v>0</v>
      </c>
      <c r="I144" s="17">
        <f t="shared" si="69"/>
        <v>0</v>
      </c>
      <c r="J144" s="17">
        <f t="shared" si="69"/>
        <v>0</v>
      </c>
      <c r="K144" s="17">
        <f t="shared" si="69"/>
        <v>0</v>
      </c>
      <c r="L144" s="17">
        <f t="shared" si="69"/>
        <v>0</v>
      </c>
      <c r="M144" s="48"/>
      <c r="N144" s="25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s="41" customFormat="1" ht="69.75" hidden="1" customHeight="1" x14ac:dyDescent="0.25">
      <c r="A145" s="47"/>
      <c r="B145" s="16" t="s">
        <v>33</v>
      </c>
      <c r="C145" s="17">
        <f t="shared" si="60"/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48"/>
      <c r="N145" s="25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 s="41" customFormat="1" ht="41.25" hidden="1" customHeight="1" x14ac:dyDescent="0.25">
      <c r="A146" s="47"/>
      <c r="B146" s="16" t="s">
        <v>35</v>
      </c>
      <c r="C146" s="17">
        <f t="shared" si="60"/>
        <v>0</v>
      </c>
      <c r="D146" s="17">
        <v>0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48"/>
      <c r="N146" s="25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 s="41" customFormat="1" ht="39.75" hidden="1" customHeight="1" x14ac:dyDescent="0.25">
      <c r="A147" s="47" t="s">
        <v>105</v>
      </c>
      <c r="B147" s="16" t="s">
        <v>30</v>
      </c>
      <c r="C147" s="17">
        <f t="shared" si="60"/>
        <v>0</v>
      </c>
      <c r="D147" s="17">
        <f t="shared" ref="D147:L147" si="70">D148+D149</f>
        <v>0</v>
      </c>
      <c r="E147" s="17">
        <f t="shared" si="70"/>
        <v>0</v>
      </c>
      <c r="F147" s="17">
        <f t="shared" si="70"/>
        <v>0</v>
      </c>
      <c r="G147" s="17">
        <f t="shared" si="70"/>
        <v>0</v>
      </c>
      <c r="H147" s="17">
        <f t="shared" si="70"/>
        <v>0</v>
      </c>
      <c r="I147" s="17">
        <f t="shared" si="70"/>
        <v>0</v>
      </c>
      <c r="J147" s="17">
        <f t="shared" si="70"/>
        <v>0</v>
      </c>
      <c r="K147" s="17">
        <f t="shared" si="70"/>
        <v>0</v>
      </c>
      <c r="L147" s="17">
        <f t="shared" si="70"/>
        <v>0</v>
      </c>
      <c r="M147" s="48"/>
      <c r="N147" s="25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 s="41" customFormat="1" ht="65.25" hidden="1" customHeight="1" x14ac:dyDescent="0.25">
      <c r="A148" s="49"/>
      <c r="B148" s="16" t="s">
        <v>33</v>
      </c>
      <c r="C148" s="17">
        <f t="shared" si="60"/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48"/>
      <c r="N148" s="25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 s="41" customFormat="1" ht="54" hidden="1" customHeight="1" x14ac:dyDescent="0.25">
      <c r="A149" s="49"/>
      <c r="B149" s="16" t="s">
        <v>35</v>
      </c>
      <c r="C149" s="17">
        <f t="shared" si="60"/>
        <v>0</v>
      </c>
      <c r="D149" s="17">
        <v>0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48"/>
      <c r="N149" s="25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 s="41" customFormat="1" ht="43.5" hidden="1" customHeight="1" x14ac:dyDescent="0.25">
      <c r="A150" s="47" t="s">
        <v>106</v>
      </c>
      <c r="B150" s="16" t="s">
        <v>30</v>
      </c>
      <c r="C150" s="17">
        <f t="shared" si="60"/>
        <v>0</v>
      </c>
      <c r="D150" s="17">
        <f t="shared" ref="D150:L150" si="71">D151+D152</f>
        <v>0</v>
      </c>
      <c r="E150" s="17">
        <f t="shared" si="71"/>
        <v>0</v>
      </c>
      <c r="F150" s="17">
        <f t="shared" si="71"/>
        <v>0</v>
      </c>
      <c r="G150" s="17">
        <f t="shared" si="71"/>
        <v>0</v>
      </c>
      <c r="H150" s="17">
        <f t="shared" si="71"/>
        <v>0</v>
      </c>
      <c r="I150" s="17">
        <f t="shared" si="71"/>
        <v>0</v>
      </c>
      <c r="J150" s="17">
        <f t="shared" si="71"/>
        <v>0</v>
      </c>
      <c r="K150" s="17">
        <f t="shared" si="71"/>
        <v>0</v>
      </c>
      <c r="L150" s="17">
        <f t="shared" si="71"/>
        <v>0</v>
      </c>
      <c r="M150" s="48"/>
      <c r="N150" s="25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 s="41" customFormat="1" ht="43.5" hidden="1" customHeight="1" x14ac:dyDescent="0.25">
      <c r="A151" s="49"/>
      <c r="B151" s="16" t="s">
        <v>33</v>
      </c>
      <c r="C151" s="17">
        <f t="shared" si="60"/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48"/>
      <c r="N151" s="25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 s="41" customFormat="1" ht="68.25" hidden="1" customHeight="1" x14ac:dyDescent="0.25">
      <c r="A152" s="49"/>
      <c r="B152" s="16" t="s">
        <v>35</v>
      </c>
      <c r="C152" s="17">
        <f t="shared" si="60"/>
        <v>0</v>
      </c>
      <c r="D152" s="17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48"/>
      <c r="N152" s="25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 s="41" customFormat="1" ht="36" hidden="1" customHeight="1" x14ac:dyDescent="0.25">
      <c r="A153" s="47" t="s">
        <v>107</v>
      </c>
      <c r="B153" s="16" t="s">
        <v>30</v>
      </c>
      <c r="C153" s="17">
        <f t="shared" si="60"/>
        <v>0</v>
      </c>
      <c r="D153" s="17">
        <f t="shared" ref="D153:L153" si="72">D154+D155</f>
        <v>0</v>
      </c>
      <c r="E153" s="17">
        <f t="shared" si="72"/>
        <v>0</v>
      </c>
      <c r="F153" s="17">
        <f t="shared" si="72"/>
        <v>0</v>
      </c>
      <c r="G153" s="17">
        <f t="shared" si="72"/>
        <v>0</v>
      </c>
      <c r="H153" s="17">
        <f t="shared" si="72"/>
        <v>0</v>
      </c>
      <c r="I153" s="17">
        <f t="shared" si="72"/>
        <v>0</v>
      </c>
      <c r="J153" s="17">
        <f t="shared" si="72"/>
        <v>0</v>
      </c>
      <c r="K153" s="17">
        <f t="shared" si="72"/>
        <v>0</v>
      </c>
      <c r="L153" s="17">
        <f t="shared" si="72"/>
        <v>0</v>
      </c>
      <c r="M153" s="48"/>
      <c r="N153" s="42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spans="1:26" s="41" customFormat="1" ht="90.75" hidden="1" customHeight="1" x14ac:dyDescent="0.25">
      <c r="A154" s="49"/>
      <c r="B154" s="16" t="s">
        <v>33</v>
      </c>
      <c r="C154" s="17">
        <f t="shared" si="60"/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48"/>
      <c r="N154" s="18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s="41" customFormat="1" ht="57.75" hidden="1" customHeight="1" x14ac:dyDescent="0.25">
      <c r="A155" s="49"/>
      <c r="B155" s="16" t="s">
        <v>35</v>
      </c>
      <c r="C155" s="17">
        <f t="shared" si="60"/>
        <v>0</v>
      </c>
      <c r="D155" s="17">
        <v>0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48"/>
      <c r="N155" s="18" t="s">
        <v>101</v>
      </c>
      <c r="O155" s="30" t="e">
        <f>#REF!/18000</f>
        <v>#REF!</v>
      </c>
      <c r="P155" s="30" t="e">
        <f>#REF!/18000</f>
        <v>#REF!</v>
      </c>
      <c r="Q155" s="30">
        <f t="shared" ref="Q155:Y155" si="73">D98/18000</f>
        <v>0</v>
      </c>
      <c r="R155" s="30">
        <f t="shared" si="73"/>
        <v>0</v>
      </c>
      <c r="S155" s="30">
        <f t="shared" si="73"/>
        <v>0</v>
      </c>
      <c r="T155" s="30">
        <f t="shared" si="73"/>
        <v>0</v>
      </c>
      <c r="U155" s="30">
        <f t="shared" si="73"/>
        <v>0</v>
      </c>
      <c r="V155" s="30">
        <f t="shared" si="73"/>
        <v>0</v>
      </c>
      <c r="W155" s="30">
        <f t="shared" si="73"/>
        <v>0</v>
      </c>
      <c r="X155" s="30">
        <f t="shared" si="73"/>
        <v>0</v>
      </c>
      <c r="Y155" s="30">
        <f t="shared" si="73"/>
        <v>0</v>
      </c>
      <c r="Z155" s="30" t="e">
        <f>SUM(O155:Y155)</f>
        <v>#REF!</v>
      </c>
    </row>
    <row r="156" spans="1:26" s="41" customFormat="1" ht="54" hidden="1" customHeight="1" x14ac:dyDescent="0.25">
      <c r="A156" s="47" t="s">
        <v>108</v>
      </c>
      <c r="B156" s="16" t="s">
        <v>30</v>
      </c>
      <c r="C156" s="17">
        <f t="shared" si="60"/>
        <v>0</v>
      </c>
      <c r="D156" s="17">
        <f t="shared" ref="D156:L156" si="74">D157+D158</f>
        <v>0</v>
      </c>
      <c r="E156" s="17">
        <f t="shared" si="74"/>
        <v>0</v>
      </c>
      <c r="F156" s="17">
        <f t="shared" si="74"/>
        <v>0</v>
      </c>
      <c r="G156" s="17">
        <f t="shared" si="74"/>
        <v>0</v>
      </c>
      <c r="H156" s="17">
        <f t="shared" si="74"/>
        <v>0</v>
      </c>
      <c r="I156" s="17">
        <f t="shared" si="74"/>
        <v>0</v>
      </c>
      <c r="J156" s="17">
        <f t="shared" si="74"/>
        <v>0</v>
      </c>
      <c r="K156" s="17">
        <f t="shared" si="74"/>
        <v>0</v>
      </c>
      <c r="L156" s="17">
        <f t="shared" si="74"/>
        <v>0</v>
      </c>
      <c r="M156" s="48"/>
      <c r="N156" s="18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 s="41" customFormat="1" ht="68.25" hidden="1" customHeight="1" x14ac:dyDescent="0.25">
      <c r="A157" s="49"/>
      <c r="B157" s="16" t="s">
        <v>33</v>
      </c>
      <c r="C157" s="17">
        <f t="shared" si="60"/>
        <v>0</v>
      </c>
      <c r="D157" s="17">
        <v>0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0</v>
      </c>
      <c r="M157" s="48"/>
      <c r="N157" s="18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 s="41" customFormat="1" ht="57.75" hidden="1" customHeight="1" x14ac:dyDescent="0.25">
      <c r="A158" s="49"/>
      <c r="B158" s="16" t="s">
        <v>35</v>
      </c>
      <c r="C158" s="17">
        <f t="shared" si="60"/>
        <v>0</v>
      </c>
      <c r="D158" s="17">
        <v>0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48"/>
      <c r="N158" s="18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 s="41" customFormat="1" ht="37.5" customHeight="1" x14ac:dyDescent="0.25">
      <c r="A159" s="149" t="s">
        <v>109</v>
      </c>
      <c r="B159" s="16" t="s">
        <v>30</v>
      </c>
      <c r="C159" s="17">
        <f>C160+C161</f>
        <v>0</v>
      </c>
      <c r="D159" s="17">
        <v>0</v>
      </c>
      <c r="E159" s="17">
        <v>0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156" t="s">
        <v>23</v>
      </c>
      <c r="N159" s="18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 s="41" customFormat="1" ht="68.25" customHeight="1" x14ac:dyDescent="0.25">
      <c r="A160" s="149"/>
      <c r="B160" s="16" t="s">
        <v>33</v>
      </c>
      <c r="C160" s="17">
        <v>0</v>
      </c>
      <c r="D160" s="17">
        <v>0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56"/>
      <c r="N160" s="18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 s="41" customFormat="1" ht="63" customHeight="1" x14ac:dyDescent="0.25">
      <c r="A161" s="149"/>
      <c r="B161" s="16" t="s">
        <v>35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56"/>
      <c r="N161" s="18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 s="41" customFormat="1" ht="65.25" hidden="1" customHeight="1" x14ac:dyDescent="0.25">
      <c r="A162" s="31" t="s">
        <v>110</v>
      </c>
      <c r="B162" s="16" t="s">
        <v>30</v>
      </c>
      <c r="C162" s="17">
        <v>0</v>
      </c>
      <c r="D162" s="17"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3"/>
      <c r="N162" s="18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 s="41" customFormat="1" ht="85.5" hidden="1" customHeight="1" x14ac:dyDescent="0.25">
      <c r="A163" s="36"/>
      <c r="B163" s="16" t="s">
        <v>33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48"/>
      <c r="N163" s="18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 s="41" customFormat="1" ht="70.5" hidden="1" customHeight="1" x14ac:dyDescent="0.25">
      <c r="A164" s="36"/>
      <c r="B164" s="16" t="s">
        <v>35</v>
      </c>
      <c r="C164" s="17">
        <v>0</v>
      </c>
      <c r="D164" s="17"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48"/>
      <c r="N164" s="18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 s="41" customFormat="1" ht="72.75" hidden="1" customHeight="1" x14ac:dyDescent="0.25">
      <c r="A165" s="31" t="s">
        <v>111</v>
      </c>
      <c r="B165" s="16" t="s">
        <v>30</v>
      </c>
      <c r="C165" s="17">
        <v>0</v>
      </c>
      <c r="D165" s="17">
        <v>0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48"/>
      <c r="N165" s="18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 s="41" customFormat="1" ht="87.75" hidden="1" customHeight="1" x14ac:dyDescent="0.25">
      <c r="A166" s="31" t="s">
        <v>112</v>
      </c>
      <c r="B166" s="16" t="s">
        <v>33</v>
      </c>
      <c r="C166" s="17">
        <v>0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48"/>
      <c r="N166" s="18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 s="41" customFormat="1" ht="38.25" hidden="1" customHeight="1" x14ac:dyDescent="0.25">
      <c r="A167" s="36"/>
      <c r="B167" s="16" t="s">
        <v>35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48"/>
      <c r="N167" s="18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 s="41" customFormat="1" ht="47.25" hidden="1" customHeight="1" x14ac:dyDescent="0.25">
      <c r="A168" s="31" t="s">
        <v>113</v>
      </c>
      <c r="B168" s="16" t="s">
        <v>30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48"/>
      <c r="N168" s="18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s="41" customFormat="1" ht="87" hidden="1" customHeight="1" x14ac:dyDescent="0.25">
      <c r="A169" s="36"/>
      <c r="B169" s="16" t="s">
        <v>33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48"/>
      <c r="N169" s="18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s="41" customFormat="1" ht="54.75" hidden="1" customHeight="1" x14ac:dyDescent="0.25">
      <c r="A170" s="36"/>
      <c r="B170" s="16" t="s">
        <v>35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3"/>
      <c r="N170" s="18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 s="5" customFormat="1" ht="25.5" x14ac:dyDescent="0.25">
      <c r="A171" s="16" t="s">
        <v>114</v>
      </c>
      <c r="B171" s="17" t="s">
        <v>22</v>
      </c>
      <c r="C171" s="17" t="s">
        <v>22</v>
      </c>
      <c r="D171" s="17" t="s">
        <v>22</v>
      </c>
      <c r="E171" s="17" t="s">
        <v>22</v>
      </c>
      <c r="F171" s="17" t="s">
        <v>22</v>
      </c>
      <c r="G171" s="17" t="s">
        <v>22</v>
      </c>
      <c r="H171" s="17" t="s">
        <v>22</v>
      </c>
      <c r="I171" s="17" t="s">
        <v>22</v>
      </c>
      <c r="J171" s="17" t="s">
        <v>22</v>
      </c>
      <c r="K171" s="17" t="s">
        <v>22</v>
      </c>
      <c r="L171" s="17" t="s">
        <v>22</v>
      </c>
      <c r="M171" s="139" t="s">
        <v>115</v>
      </c>
      <c r="N171" s="21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s="5" customFormat="1" ht="61.5" customHeight="1" x14ac:dyDescent="0.25">
      <c r="A172" s="16" t="s">
        <v>116</v>
      </c>
      <c r="B172" s="17" t="s">
        <v>22</v>
      </c>
      <c r="C172" s="17" t="s">
        <v>22</v>
      </c>
      <c r="D172" s="17" t="s">
        <v>22</v>
      </c>
      <c r="E172" s="17" t="s">
        <v>22</v>
      </c>
      <c r="F172" s="17" t="s">
        <v>22</v>
      </c>
      <c r="G172" s="17" t="s">
        <v>22</v>
      </c>
      <c r="H172" s="17" t="s">
        <v>22</v>
      </c>
      <c r="I172" s="17" t="s">
        <v>22</v>
      </c>
      <c r="J172" s="17" t="s">
        <v>22</v>
      </c>
      <c r="K172" s="17" t="s">
        <v>22</v>
      </c>
      <c r="L172" s="17" t="s">
        <v>22</v>
      </c>
      <c r="M172" s="139"/>
      <c r="N172" s="51" t="s">
        <v>117</v>
      </c>
      <c r="O172" s="52">
        <v>25</v>
      </c>
      <c r="P172" s="52">
        <v>30</v>
      </c>
      <c r="Q172" s="52">
        <v>30</v>
      </c>
      <c r="R172" s="52">
        <v>30</v>
      </c>
      <c r="S172" s="52">
        <v>30</v>
      </c>
      <c r="T172" s="52">
        <v>30</v>
      </c>
      <c r="U172" s="52">
        <v>30</v>
      </c>
      <c r="V172" s="52">
        <v>30</v>
      </c>
      <c r="W172" s="52">
        <v>30</v>
      </c>
      <c r="X172" s="52">
        <v>30</v>
      </c>
      <c r="Y172" s="52">
        <v>30</v>
      </c>
      <c r="Z172" s="53">
        <v>30</v>
      </c>
    </row>
    <row r="173" spans="1:26" s="5" customFormat="1" ht="72" customHeight="1" x14ac:dyDescent="0.25">
      <c r="A173" s="16" t="s">
        <v>118</v>
      </c>
      <c r="B173" s="17" t="s">
        <v>22</v>
      </c>
      <c r="C173" s="17" t="s">
        <v>22</v>
      </c>
      <c r="D173" s="17" t="s">
        <v>22</v>
      </c>
      <c r="E173" s="17" t="s">
        <v>22</v>
      </c>
      <c r="F173" s="17" t="s">
        <v>22</v>
      </c>
      <c r="G173" s="17" t="s">
        <v>22</v>
      </c>
      <c r="H173" s="17" t="s">
        <v>22</v>
      </c>
      <c r="I173" s="17" t="s">
        <v>22</v>
      </c>
      <c r="J173" s="17" t="s">
        <v>22</v>
      </c>
      <c r="K173" s="17" t="s">
        <v>22</v>
      </c>
      <c r="L173" s="17" t="s">
        <v>22</v>
      </c>
      <c r="M173" s="139"/>
      <c r="N173" s="51" t="s">
        <v>117</v>
      </c>
      <c r="O173" s="13">
        <v>4</v>
      </c>
      <c r="P173" s="13">
        <v>4</v>
      </c>
      <c r="Q173" s="13">
        <v>4</v>
      </c>
      <c r="R173" s="13">
        <v>4</v>
      </c>
      <c r="S173" s="13">
        <v>4</v>
      </c>
      <c r="T173" s="13">
        <v>4</v>
      </c>
      <c r="U173" s="13">
        <v>4</v>
      </c>
      <c r="V173" s="13">
        <v>4</v>
      </c>
      <c r="W173" s="13">
        <v>4</v>
      </c>
      <c r="X173" s="13">
        <v>4</v>
      </c>
      <c r="Y173" s="13">
        <v>4</v>
      </c>
      <c r="Z173" s="53">
        <v>4</v>
      </c>
    </row>
    <row r="174" spans="1:26" s="5" customFormat="1" ht="63" customHeight="1" x14ac:dyDescent="0.25">
      <c r="A174" s="16" t="s">
        <v>119</v>
      </c>
      <c r="B174" s="17" t="s">
        <v>22</v>
      </c>
      <c r="C174" s="17" t="s">
        <v>22</v>
      </c>
      <c r="D174" s="17" t="s">
        <v>22</v>
      </c>
      <c r="E174" s="17" t="s">
        <v>22</v>
      </c>
      <c r="F174" s="17" t="s">
        <v>22</v>
      </c>
      <c r="G174" s="17" t="s">
        <v>22</v>
      </c>
      <c r="H174" s="17" t="s">
        <v>22</v>
      </c>
      <c r="I174" s="17" t="s">
        <v>22</v>
      </c>
      <c r="J174" s="17" t="s">
        <v>22</v>
      </c>
      <c r="K174" s="17" t="s">
        <v>22</v>
      </c>
      <c r="L174" s="17" t="s">
        <v>22</v>
      </c>
      <c r="M174" s="17" t="s">
        <v>120</v>
      </c>
      <c r="N174" s="18" t="s">
        <v>121</v>
      </c>
      <c r="O174" s="19" t="e">
        <f>#REF!+O25</f>
        <v>#REF!</v>
      </c>
      <c r="P174" s="19" t="e">
        <f>#REF!+P25</f>
        <v>#REF!</v>
      </c>
      <c r="Q174" s="19" t="e">
        <f>#REF!+Q25</f>
        <v>#REF!</v>
      </c>
      <c r="R174" s="19" t="e">
        <f>#REF!+R25</f>
        <v>#REF!</v>
      </c>
      <c r="S174" s="19" t="e">
        <f>#REF!+S25</f>
        <v>#REF!</v>
      </c>
      <c r="T174" s="19" t="e">
        <f>#REF!+T25</f>
        <v>#REF!</v>
      </c>
      <c r="U174" s="19" t="e">
        <f>#REF!+U25</f>
        <v>#REF!</v>
      </c>
      <c r="V174" s="19" t="e">
        <f>#REF!+V25</f>
        <v>#REF!</v>
      </c>
      <c r="W174" s="19" t="e">
        <f>#REF!+W25</f>
        <v>#REF!</v>
      </c>
      <c r="X174" s="19" t="e">
        <f>#REF!+X25</f>
        <v>#REF!</v>
      </c>
      <c r="Y174" s="19" t="e">
        <f>#REF!+Y25</f>
        <v>#REF!</v>
      </c>
      <c r="Z174" s="19" t="e">
        <f>SUM(O174:Y174)</f>
        <v>#REF!</v>
      </c>
    </row>
    <row r="175" spans="1:26" s="5" customFormat="1" ht="45" customHeight="1" x14ac:dyDescent="0.25">
      <c r="A175" s="31" t="s">
        <v>122</v>
      </c>
      <c r="B175" s="17" t="s">
        <v>22</v>
      </c>
      <c r="C175" s="17" t="s">
        <v>22</v>
      </c>
      <c r="D175" s="17" t="s">
        <v>22</v>
      </c>
      <c r="E175" s="17" t="s">
        <v>22</v>
      </c>
      <c r="F175" s="17" t="s">
        <v>22</v>
      </c>
      <c r="G175" s="17" t="s">
        <v>22</v>
      </c>
      <c r="H175" s="17" t="s">
        <v>22</v>
      </c>
      <c r="I175" s="17" t="s">
        <v>22</v>
      </c>
      <c r="J175" s="17" t="s">
        <v>22</v>
      </c>
      <c r="K175" s="17" t="s">
        <v>22</v>
      </c>
      <c r="L175" s="17" t="s">
        <v>22</v>
      </c>
      <c r="M175" s="17" t="s">
        <v>23</v>
      </c>
      <c r="N175" s="18" t="s">
        <v>123</v>
      </c>
      <c r="O175" s="19">
        <v>1</v>
      </c>
      <c r="P175" s="19">
        <v>1</v>
      </c>
      <c r="Q175" s="19">
        <v>1</v>
      </c>
      <c r="R175" s="19">
        <v>1</v>
      </c>
      <c r="S175" s="19">
        <v>1</v>
      </c>
      <c r="T175" s="19">
        <v>1</v>
      </c>
      <c r="U175" s="19">
        <v>1</v>
      </c>
      <c r="V175" s="19">
        <v>1</v>
      </c>
      <c r="W175" s="19">
        <v>1</v>
      </c>
      <c r="X175" s="19">
        <v>1</v>
      </c>
      <c r="Y175" s="19">
        <v>1</v>
      </c>
      <c r="Z175" s="19">
        <f>Y175</f>
        <v>1</v>
      </c>
    </row>
    <row r="176" spans="1:26" s="5" customFormat="1" ht="27.75" customHeight="1" x14ac:dyDescent="0.25">
      <c r="A176" s="143" t="s">
        <v>124</v>
      </c>
      <c r="B176" s="143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1"/>
      <c r="Z176" s="16"/>
    </row>
    <row r="177" spans="1:26" s="5" customFormat="1" ht="30" customHeight="1" x14ac:dyDescent="0.25">
      <c r="A177" s="138" t="s">
        <v>125</v>
      </c>
      <c r="B177" s="16" t="s">
        <v>30</v>
      </c>
      <c r="C177" s="17">
        <f t="shared" ref="C177:C185" si="75">D177+E177+F177+G177+H177+I177+J177+K177+L177</f>
        <v>666000</v>
      </c>
      <c r="D177" s="17">
        <f>D180+D183</f>
        <v>666000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39" t="s">
        <v>52</v>
      </c>
      <c r="N177" s="18" t="s">
        <v>126</v>
      </c>
      <c r="O177" s="19">
        <v>100</v>
      </c>
      <c r="P177" s="19">
        <v>100</v>
      </c>
      <c r="Q177" s="19">
        <v>100</v>
      </c>
      <c r="R177" s="19">
        <v>100</v>
      </c>
      <c r="S177" s="19">
        <v>100</v>
      </c>
      <c r="T177" s="19">
        <v>100</v>
      </c>
      <c r="U177" s="19">
        <v>100</v>
      </c>
      <c r="V177" s="19">
        <v>100</v>
      </c>
      <c r="W177" s="19">
        <v>100</v>
      </c>
      <c r="X177" s="19">
        <v>100</v>
      </c>
      <c r="Y177" s="19">
        <v>100</v>
      </c>
      <c r="Z177" s="19">
        <f>Y177</f>
        <v>100</v>
      </c>
    </row>
    <row r="178" spans="1:26" s="5" customFormat="1" ht="63.75" customHeight="1" x14ac:dyDescent="0.25">
      <c r="A178" s="138"/>
      <c r="B178" s="16" t="s">
        <v>33</v>
      </c>
      <c r="C178" s="17">
        <f t="shared" si="75"/>
        <v>0</v>
      </c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39"/>
      <c r="N178" s="18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spans="1:26" s="5" customFormat="1" ht="40.5" customHeight="1" x14ac:dyDescent="0.25">
      <c r="A179" s="138"/>
      <c r="B179" s="16" t="s">
        <v>35</v>
      </c>
      <c r="C179" s="17">
        <f t="shared" si="75"/>
        <v>666000</v>
      </c>
      <c r="D179" s="17">
        <f t="shared" ref="D179:L179" si="76">D182+D185</f>
        <v>666000</v>
      </c>
      <c r="E179" s="17">
        <f t="shared" si="76"/>
        <v>0</v>
      </c>
      <c r="F179" s="17">
        <f t="shared" si="76"/>
        <v>0</v>
      </c>
      <c r="G179" s="17">
        <f t="shared" si="76"/>
        <v>0</v>
      </c>
      <c r="H179" s="17">
        <f t="shared" si="76"/>
        <v>0</v>
      </c>
      <c r="I179" s="17">
        <f t="shared" si="76"/>
        <v>0</v>
      </c>
      <c r="J179" s="17">
        <f t="shared" si="76"/>
        <v>0</v>
      </c>
      <c r="K179" s="17">
        <f t="shared" si="76"/>
        <v>0</v>
      </c>
      <c r="L179" s="17">
        <f t="shared" si="76"/>
        <v>0</v>
      </c>
      <c r="M179" s="139"/>
      <c r="N179" s="18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spans="1:26" s="5" customFormat="1" ht="27" customHeight="1" x14ac:dyDescent="0.25">
      <c r="A180" s="138" t="s">
        <v>127</v>
      </c>
      <c r="B180" s="16" t="s">
        <v>30</v>
      </c>
      <c r="C180" s="17">
        <f t="shared" si="75"/>
        <v>666000</v>
      </c>
      <c r="D180" s="17">
        <f>D182</f>
        <v>666000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39" t="s">
        <v>52</v>
      </c>
      <c r="N180" s="18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spans="1:26" s="5" customFormat="1" ht="67.5" customHeight="1" x14ac:dyDescent="0.25">
      <c r="A181" s="138"/>
      <c r="B181" s="16" t="s">
        <v>33</v>
      </c>
      <c r="C181" s="17">
        <f t="shared" si="75"/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39"/>
      <c r="N181" s="18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spans="1:26" s="5" customFormat="1" ht="39.75" customHeight="1" x14ac:dyDescent="0.25">
      <c r="A182" s="138"/>
      <c r="B182" s="16" t="s">
        <v>35</v>
      </c>
      <c r="C182" s="17">
        <f t="shared" si="75"/>
        <v>666000</v>
      </c>
      <c r="D182" s="17">
        <v>666000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39"/>
      <c r="N182" s="18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spans="1:26" s="5" customFormat="1" ht="39.75" customHeight="1" x14ac:dyDescent="0.25">
      <c r="A183" s="149" t="s">
        <v>128</v>
      </c>
      <c r="B183" s="16" t="s">
        <v>30</v>
      </c>
      <c r="C183" s="17">
        <f t="shared" si="75"/>
        <v>0</v>
      </c>
      <c r="D183" s="17">
        <f t="shared" ref="D183:K183" si="77">D184+D185</f>
        <v>0</v>
      </c>
      <c r="E183" s="17">
        <f t="shared" si="77"/>
        <v>0</v>
      </c>
      <c r="F183" s="17">
        <f t="shared" si="77"/>
        <v>0</v>
      </c>
      <c r="G183" s="17">
        <f t="shared" si="77"/>
        <v>0</v>
      </c>
      <c r="H183" s="17">
        <f t="shared" si="77"/>
        <v>0</v>
      </c>
      <c r="I183" s="17">
        <f t="shared" si="77"/>
        <v>0</v>
      </c>
      <c r="J183" s="17">
        <f t="shared" si="77"/>
        <v>0</v>
      </c>
      <c r="K183" s="17">
        <f t="shared" si="77"/>
        <v>0</v>
      </c>
      <c r="L183" s="17">
        <v>0</v>
      </c>
      <c r="M183" s="139" t="s">
        <v>52</v>
      </c>
      <c r="N183" s="18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spans="1:26" s="5" customFormat="1" ht="68.25" customHeight="1" x14ac:dyDescent="0.25">
      <c r="A184" s="149"/>
      <c r="B184" s="16" t="s">
        <v>33</v>
      </c>
      <c r="C184" s="17">
        <f t="shared" si="75"/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39"/>
      <c r="N184" s="18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spans="1:26" s="5" customFormat="1" ht="39.75" customHeight="1" x14ac:dyDescent="0.25">
      <c r="A185" s="149"/>
      <c r="B185" s="16" t="s">
        <v>35</v>
      </c>
      <c r="C185" s="17">
        <f t="shared" si="75"/>
        <v>0</v>
      </c>
      <c r="D185" s="17">
        <v>0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39"/>
      <c r="N185" s="18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spans="1:26" s="5" customFormat="1" ht="33.75" customHeight="1" x14ac:dyDescent="0.25">
      <c r="A186" s="143" t="s">
        <v>129</v>
      </c>
      <c r="B186" s="143"/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8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spans="1:26" s="5" customFormat="1" ht="39.75" customHeight="1" x14ac:dyDescent="0.25">
      <c r="A187" s="143" t="s">
        <v>130</v>
      </c>
      <c r="B187" s="16" t="s">
        <v>30</v>
      </c>
      <c r="C187" s="17">
        <f t="shared" ref="C187:C195" si="78">D187+E187+F187+G187+H187+I187+J187+K187+L187</f>
        <v>5400000</v>
      </c>
      <c r="D187" s="17">
        <f t="shared" ref="D187:L187" si="79">D188+D189</f>
        <v>600000</v>
      </c>
      <c r="E187" s="17">
        <f t="shared" si="79"/>
        <v>600000</v>
      </c>
      <c r="F187" s="17">
        <f t="shared" si="79"/>
        <v>600000</v>
      </c>
      <c r="G187" s="17">
        <f t="shared" si="79"/>
        <v>600000</v>
      </c>
      <c r="H187" s="17">
        <f t="shared" si="79"/>
        <v>600000</v>
      </c>
      <c r="I187" s="17">
        <f t="shared" si="79"/>
        <v>600000</v>
      </c>
      <c r="J187" s="17">
        <f t="shared" si="79"/>
        <v>600000</v>
      </c>
      <c r="K187" s="17">
        <f t="shared" si="79"/>
        <v>600000</v>
      </c>
      <c r="L187" s="17">
        <f t="shared" si="79"/>
        <v>600000</v>
      </c>
      <c r="M187" s="139" t="s">
        <v>23</v>
      </c>
      <c r="N187" s="18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spans="1:26" s="5" customFormat="1" ht="68.25" customHeight="1" x14ac:dyDescent="0.25">
      <c r="A188" s="143"/>
      <c r="B188" s="16" t="s">
        <v>33</v>
      </c>
      <c r="C188" s="17">
        <f t="shared" si="78"/>
        <v>0</v>
      </c>
      <c r="D188" s="17"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39"/>
      <c r="N188" s="18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spans="1:26" s="5" customFormat="1" ht="29.25" customHeight="1" x14ac:dyDescent="0.25">
      <c r="A189" s="143"/>
      <c r="B189" s="16" t="s">
        <v>35</v>
      </c>
      <c r="C189" s="17">
        <f t="shared" si="78"/>
        <v>5400000</v>
      </c>
      <c r="D189" s="17">
        <v>600000</v>
      </c>
      <c r="E189" s="17">
        <v>600000</v>
      </c>
      <c r="F189" s="17">
        <v>600000</v>
      </c>
      <c r="G189" s="17">
        <v>600000</v>
      </c>
      <c r="H189" s="17">
        <v>600000</v>
      </c>
      <c r="I189" s="17">
        <v>600000</v>
      </c>
      <c r="J189" s="17">
        <v>600000</v>
      </c>
      <c r="K189" s="17">
        <v>600000</v>
      </c>
      <c r="L189" s="17">
        <v>600000</v>
      </c>
      <c r="M189" s="139"/>
      <c r="N189" s="18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spans="1:26" s="5" customFormat="1" ht="29.25" customHeight="1" x14ac:dyDescent="0.25">
      <c r="A190" s="143" t="s">
        <v>131</v>
      </c>
      <c r="B190" s="16" t="s">
        <v>30</v>
      </c>
      <c r="C190" s="17">
        <f t="shared" si="78"/>
        <v>3150000</v>
      </c>
      <c r="D190" s="17">
        <f t="shared" ref="D190:L190" si="80">D191+D192</f>
        <v>350000</v>
      </c>
      <c r="E190" s="17">
        <f t="shared" si="80"/>
        <v>350000</v>
      </c>
      <c r="F190" s="17">
        <f t="shared" si="80"/>
        <v>350000</v>
      </c>
      <c r="G190" s="17">
        <f t="shared" si="80"/>
        <v>350000</v>
      </c>
      <c r="H190" s="17">
        <f t="shared" si="80"/>
        <v>350000</v>
      </c>
      <c r="I190" s="17">
        <f t="shared" si="80"/>
        <v>350000</v>
      </c>
      <c r="J190" s="17">
        <f t="shared" si="80"/>
        <v>350000</v>
      </c>
      <c r="K190" s="17">
        <f t="shared" si="80"/>
        <v>350000</v>
      </c>
      <c r="L190" s="17">
        <f t="shared" si="80"/>
        <v>350000</v>
      </c>
      <c r="M190" s="137" t="s">
        <v>23</v>
      </c>
      <c r="N190" s="18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spans="1:26" s="5" customFormat="1" ht="69" customHeight="1" x14ac:dyDescent="0.25">
      <c r="A191" s="143"/>
      <c r="B191" s="16" t="s">
        <v>33</v>
      </c>
      <c r="C191" s="17">
        <f t="shared" si="78"/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37"/>
      <c r="N191" s="18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spans="1:26" s="5" customFormat="1" ht="39.75" customHeight="1" x14ac:dyDescent="0.25">
      <c r="A192" s="143"/>
      <c r="B192" s="16" t="s">
        <v>35</v>
      </c>
      <c r="C192" s="17">
        <f t="shared" si="78"/>
        <v>3150000</v>
      </c>
      <c r="D192" s="17">
        <v>350000</v>
      </c>
      <c r="E192" s="17">
        <v>350000</v>
      </c>
      <c r="F192" s="17">
        <v>350000</v>
      </c>
      <c r="G192" s="17">
        <v>350000</v>
      </c>
      <c r="H192" s="17">
        <v>350000</v>
      </c>
      <c r="I192" s="17">
        <v>350000</v>
      </c>
      <c r="J192" s="17">
        <v>350000</v>
      </c>
      <c r="K192" s="17">
        <v>350000</v>
      </c>
      <c r="L192" s="17">
        <v>350000</v>
      </c>
      <c r="M192" s="137"/>
      <c r="N192" s="18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spans="1:26" s="5" customFormat="1" ht="17.25" customHeight="1" x14ac:dyDescent="0.25">
      <c r="A193" s="143" t="s">
        <v>218</v>
      </c>
      <c r="B193" s="16" t="s">
        <v>30</v>
      </c>
      <c r="C193" s="17">
        <f t="shared" si="78"/>
        <v>2250000</v>
      </c>
      <c r="D193" s="17">
        <f t="shared" ref="D193:L193" si="81">D194+D195</f>
        <v>250000</v>
      </c>
      <c r="E193" s="17">
        <f t="shared" si="81"/>
        <v>250000</v>
      </c>
      <c r="F193" s="17">
        <f t="shared" si="81"/>
        <v>250000</v>
      </c>
      <c r="G193" s="17">
        <f t="shared" si="81"/>
        <v>250000</v>
      </c>
      <c r="H193" s="17">
        <f t="shared" si="81"/>
        <v>250000</v>
      </c>
      <c r="I193" s="17">
        <f t="shared" si="81"/>
        <v>250000</v>
      </c>
      <c r="J193" s="17">
        <f t="shared" si="81"/>
        <v>250000</v>
      </c>
      <c r="K193" s="17">
        <f t="shared" si="81"/>
        <v>250000</v>
      </c>
      <c r="L193" s="17">
        <f t="shared" si="81"/>
        <v>250000</v>
      </c>
      <c r="M193" s="137" t="s">
        <v>23</v>
      </c>
      <c r="N193" s="18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spans="1:26" s="5" customFormat="1" ht="39.75" customHeight="1" x14ac:dyDescent="0.25">
      <c r="A194" s="143"/>
      <c r="B194" s="16" t="s">
        <v>33</v>
      </c>
      <c r="C194" s="17">
        <f t="shared" si="78"/>
        <v>0</v>
      </c>
      <c r="D194" s="17">
        <v>0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37"/>
      <c r="N194" s="18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spans="1:26" s="5" customFormat="1" ht="30" customHeight="1" x14ac:dyDescent="0.25">
      <c r="A195" s="143"/>
      <c r="B195" s="16" t="s">
        <v>35</v>
      </c>
      <c r="C195" s="17">
        <f t="shared" si="78"/>
        <v>2250000</v>
      </c>
      <c r="D195" s="17">
        <v>250000</v>
      </c>
      <c r="E195" s="17">
        <v>250000</v>
      </c>
      <c r="F195" s="17">
        <v>250000</v>
      </c>
      <c r="G195" s="17">
        <v>250000</v>
      </c>
      <c r="H195" s="17">
        <v>250000</v>
      </c>
      <c r="I195" s="17">
        <v>250000</v>
      </c>
      <c r="J195" s="17">
        <v>250000</v>
      </c>
      <c r="K195" s="17">
        <v>250000</v>
      </c>
      <c r="L195" s="17">
        <v>250000</v>
      </c>
      <c r="M195" s="137"/>
      <c r="N195" s="18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spans="1:26" s="5" customFormat="1" ht="18" customHeight="1" x14ac:dyDescent="0.25">
      <c r="A196" s="143" t="s">
        <v>132</v>
      </c>
      <c r="B196" s="16" t="s">
        <v>30</v>
      </c>
      <c r="C196" s="17">
        <f t="shared" ref="C196:L196" si="82">C197+C198</f>
        <v>252518491.21157658</v>
      </c>
      <c r="D196" s="17">
        <f t="shared" si="82"/>
        <v>33943450</v>
      </c>
      <c r="E196" s="17">
        <f t="shared" si="82"/>
        <v>5075350</v>
      </c>
      <c r="F196" s="17">
        <f t="shared" si="82"/>
        <v>5075350</v>
      </c>
      <c r="G196" s="17">
        <f t="shared" si="82"/>
        <v>32707955.560000002</v>
      </c>
      <c r="H196" s="17">
        <f t="shared" si="82"/>
        <v>33478928.53796</v>
      </c>
      <c r="I196" s="17">
        <f t="shared" si="82"/>
        <v>34281562.989616364</v>
      </c>
      <c r="J196" s="17">
        <f t="shared" si="82"/>
        <v>35110673.594455421</v>
      </c>
      <c r="K196" s="17">
        <f t="shared" si="82"/>
        <v>35973575.115706719</v>
      </c>
      <c r="L196" s="17">
        <f t="shared" si="82"/>
        <v>36871645.413838103</v>
      </c>
      <c r="M196" s="17" t="s">
        <v>133</v>
      </c>
      <c r="N196" s="54" t="s">
        <v>133</v>
      </c>
      <c r="O196" s="17" t="s">
        <v>133</v>
      </c>
      <c r="P196" s="17" t="s">
        <v>133</v>
      </c>
      <c r="Q196" s="17" t="s">
        <v>133</v>
      </c>
      <c r="R196" s="17" t="s">
        <v>133</v>
      </c>
      <c r="S196" s="17" t="s">
        <v>133</v>
      </c>
      <c r="T196" s="17" t="s">
        <v>133</v>
      </c>
      <c r="U196" s="17" t="s">
        <v>133</v>
      </c>
      <c r="V196" s="17" t="s">
        <v>133</v>
      </c>
      <c r="W196" s="17" t="s">
        <v>133</v>
      </c>
      <c r="X196" s="17" t="s">
        <v>133</v>
      </c>
      <c r="Y196" s="17" t="s">
        <v>133</v>
      </c>
      <c r="Z196" s="17" t="s">
        <v>133</v>
      </c>
    </row>
    <row r="197" spans="1:26" s="5" customFormat="1" ht="66" customHeight="1" x14ac:dyDescent="0.25">
      <c r="A197" s="143"/>
      <c r="B197" s="16" t="s">
        <v>33</v>
      </c>
      <c r="C197" s="17">
        <f>SUM(D197:L197)</f>
        <v>89462100</v>
      </c>
      <c r="D197" s="17">
        <f t="shared" ref="D197:L197" si="83">D17+D37+D130+D139+D160+D178+D188</f>
        <v>15902100</v>
      </c>
      <c r="E197" s="17">
        <f t="shared" si="83"/>
        <v>0</v>
      </c>
      <c r="F197" s="17">
        <f t="shared" si="83"/>
        <v>0</v>
      </c>
      <c r="G197" s="17">
        <f t="shared" si="83"/>
        <v>12260000</v>
      </c>
      <c r="H197" s="17">
        <f t="shared" si="83"/>
        <v>12260000</v>
      </c>
      <c r="I197" s="17">
        <f t="shared" si="83"/>
        <v>12260000</v>
      </c>
      <c r="J197" s="17">
        <f t="shared" si="83"/>
        <v>12260000</v>
      </c>
      <c r="K197" s="17">
        <f t="shared" si="83"/>
        <v>12260000</v>
      </c>
      <c r="L197" s="17">
        <f t="shared" si="83"/>
        <v>12260000</v>
      </c>
      <c r="M197" s="17" t="s">
        <v>133</v>
      </c>
      <c r="N197" s="54" t="s">
        <v>133</v>
      </c>
      <c r="O197" s="17" t="s">
        <v>133</v>
      </c>
      <c r="P197" s="17" t="s">
        <v>133</v>
      </c>
      <c r="Q197" s="17" t="s">
        <v>133</v>
      </c>
      <c r="R197" s="17" t="s">
        <v>133</v>
      </c>
      <c r="S197" s="17" t="s">
        <v>133</v>
      </c>
      <c r="T197" s="17" t="s">
        <v>133</v>
      </c>
      <c r="U197" s="17" t="s">
        <v>133</v>
      </c>
      <c r="V197" s="17" t="s">
        <v>133</v>
      </c>
      <c r="W197" s="17" t="s">
        <v>133</v>
      </c>
      <c r="X197" s="17" t="s">
        <v>133</v>
      </c>
      <c r="Y197" s="17" t="s">
        <v>133</v>
      </c>
      <c r="Z197" s="17" t="s">
        <v>133</v>
      </c>
    </row>
    <row r="198" spans="1:26" s="5" customFormat="1" ht="30" customHeight="1" x14ac:dyDescent="0.25">
      <c r="A198" s="143"/>
      <c r="B198" s="16" t="s">
        <v>35</v>
      </c>
      <c r="C198" s="17">
        <f>SUM(D198:L198)</f>
        <v>163056391.21157658</v>
      </c>
      <c r="D198" s="17">
        <f t="shared" ref="D198:L198" si="84">D18+D38+D131+D140+D161+D179+D189</f>
        <v>18041350</v>
      </c>
      <c r="E198" s="17">
        <f t="shared" si="84"/>
        <v>5075350</v>
      </c>
      <c r="F198" s="17">
        <f t="shared" si="84"/>
        <v>5075350</v>
      </c>
      <c r="G198" s="17">
        <f t="shared" si="84"/>
        <v>20447955.560000002</v>
      </c>
      <c r="H198" s="17">
        <f t="shared" si="84"/>
        <v>21218928.53796</v>
      </c>
      <c r="I198" s="17">
        <f t="shared" si="84"/>
        <v>22021562.989616361</v>
      </c>
      <c r="J198" s="17">
        <f t="shared" si="84"/>
        <v>22850673.594455417</v>
      </c>
      <c r="K198" s="17">
        <f t="shared" si="84"/>
        <v>23713575.115706719</v>
      </c>
      <c r="L198" s="17">
        <f t="shared" si="84"/>
        <v>24611645.413838103</v>
      </c>
      <c r="M198" s="17" t="s">
        <v>133</v>
      </c>
      <c r="N198" s="54" t="s">
        <v>133</v>
      </c>
      <c r="O198" s="17" t="s">
        <v>133</v>
      </c>
      <c r="P198" s="17" t="s">
        <v>133</v>
      </c>
      <c r="Q198" s="17" t="s">
        <v>133</v>
      </c>
      <c r="R198" s="17" t="s">
        <v>133</v>
      </c>
      <c r="S198" s="17" t="s">
        <v>133</v>
      </c>
      <c r="T198" s="17" t="s">
        <v>133</v>
      </c>
      <c r="U198" s="17" t="s">
        <v>133</v>
      </c>
      <c r="V198" s="17" t="s">
        <v>133</v>
      </c>
      <c r="W198" s="17" t="s">
        <v>133</v>
      </c>
      <c r="X198" s="17" t="s">
        <v>133</v>
      </c>
      <c r="Y198" s="17" t="s">
        <v>133</v>
      </c>
      <c r="Z198" s="17" t="s">
        <v>133</v>
      </c>
    </row>
    <row r="199" spans="1:26" s="5" customFormat="1" ht="15.75" customHeight="1" x14ac:dyDescent="0.25">
      <c r="A199" s="143" t="s">
        <v>134</v>
      </c>
      <c r="B199" s="16" t="s">
        <v>30</v>
      </c>
      <c r="C199" s="17">
        <f>SUM(D199:L199)</f>
        <v>251552491.21157658</v>
      </c>
      <c r="D199" s="17">
        <f t="shared" ref="D199:L199" si="85">D200+D201</f>
        <v>32977450</v>
      </c>
      <c r="E199" s="17">
        <f t="shared" si="85"/>
        <v>5075350</v>
      </c>
      <c r="F199" s="17">
        <f t="shared" si="85"/>
        <v>5075350</v>
      </c>
      <c r="G199" s="17">
        <f t="shared" si="85"/>
        <v>32707955.560000002</v>
      </c>
      <c r="H199" s="17">
        <f t="shared" si="85"/>
        <v>33478928.53796</v>
      </c>
      <c r="I199" s="17">
        <f t="shared" si="85"/>
        <v>34281562.989616364</v>
      </c>
      <c r="J199" s="17">
        <f t="shared" si="85"/>
        <v>35110673.594455421</v>
      </c>
      <c r="K199" s="17">
        <f t="shared" si="85"/>
        <v>35973575.115706719</v>
      </c>
      <c r="L199" s="17">
        <f t="shared" si="85"/>
        <v>36871645.413838103</v>
      </c>
      <c r="M199" s="17" t="s">
        <v>133</v>
      </c>
      <c r="N199" s="54" t="s">
        <v>133</v>
      </c>
      <c r="O199" s="17" t="s">
        <v>133</v>
      </c>
      <c r="P199" s="17" t="s">
        <v>133</v>
      </c>
      <c r="Q199" s="17" t="s">
        <v>133</v>
      </c>
      <c r="R199" s="17" t="s">
        <v>133</v>
      </c>
      <c r="S199" s="17" t="s">
        <v>133</v>
      </c>
      <c r="T199" s="17" t="s">
        <v>133</v>
      </c>
      <c r="U199" s="17" t="s">
        <v>133</v>
      </c>
      <c r="V199" s="17" t="s">
        <v>133</v>
      </c>
      <c r="W199" s="17" t="s">
        <v>133</v>
      </c>
      <c r="X199" s="17" t="s">
        <v>133</v>
      </c>
      <c r="Y199" s="17" t="s">
        <v>133</v>
      </c>
      <c r="Z199" s="17" t="s">
        <v>133</v>
      </c>
    </row>
    <row r="200" spans="1:26" s="5" customFormat="1" ht="63.75" x14ac:dyDescent="0.25">
      <c r="A200" s="143"/>
      <c r="B200" s="16" t="s">
        <v>33</v>
      </c>
      <c r="C200" s="17">
        <f>SUM(D200:L200)</f>
        <v>89462100</v>
      </c>
      <c r="D200" s="17">
        <f t="shared" ref="D200:L200" si="86">D17-D34+D37+D160+D130+D188</f>
        <v>15902100</v>
      </c>
      <c r="E200" s="17">
        <f t="shared" si="86"/>
        <v>0</v>
      </c>
      <c r="F200" s="17">
        <f t="shared" si="86"/>
        <v>0</v>
      </c>
      <c r="G200" s="17">
        <f t="shared" si="86"/>
        <v>12260000</v>
      </c>
      <c r="H200" s="17">
        <f t="shared" si="86"/>
        <v>12260000</v>
      </c>
      <c r="I200" s="17">
        <f t="shared" si="86"/>
        <v>12260000</v>
      </c>
      <c r="J200" s="17">
        <f t="shared" si="86"/>
        <v>12260000</v>
      </c>
      <c r="K200" s="17">
        <f t="shared" si="86"/>
        <v>12260000</v>
      </c>
      <c r="L200" s="17">
        <f t="shared" si="86"/>
        <v>12260000</v>
      </c>
      <c r="M200" s="17" t="s">
        <v>133</v>
      </c>
      <c r="N200" s="54" t="s">
        <v>133</v>
      </c>
      <c r="O200" s="17" t="s">
        <v>133</v>
      </c>
      <c r="P200" s="17" t="s">
        <v>133</v>
      </c>
      <c r="Q200" s="17" t="s">
        <v>133</v>
      </c>
      <c r="R200" s="17" t="s">
        <v>133</v>
      </c>
      <c r="S200" s="17" t="s">
        <v>133</v>
      </c>
      <c r="T200" s="17" t="s">
        <v>133</v>
      </c>
      <c r="U200" s="17" t="s">
        <v>133</v>
      </c>
      <c r="V200" s="17" t="s">
        <v>133</v>
      </c>
      <c r="W200" s="17" t="s">
        <v>133</v>
      </c>
      <c r="X200" s="17" t="s">
        <v>133</v>
      </c>
      <c r="Y200" s="17" t="s">
        <v>133</v>
      </c>
      <c r="Z200" s="17" t="s">
        <v>133</v>
      </c>
    </row>
    <row r="201" spans="1:26" s="5" customFormat="1" ht="30" customHeight="1" x14ac:dyDescent="0.25">
      <c r="A201" s="143"/>
      <c r="B201" s="16" t="s">
        <v>35</v>
      </c>
      <c r="C201" s="17">
        <f>SUM(D201:L201)</f>
        <v>162090391.21157658</v>
      </c>
      <c r="D201" s="17">
        <f t="shared" ref="D201:L201" si="87">D18-D35+D38+D131+D140+D161+D189</f>
        <v>17075350</v>
      </c>
      <c r="E201" s="17">
        <f t="shared" si="87"/>
        <v>5075350</v>
      </c>
      <c r="F201" s="17">
        <f t="shared" si="87"/>
        <v>5075350</v>
      </c>
      <c r="G201" s="17">
        <f t="shared" si="87"/>
        <v>20447955.560000002</v>
      </c>
      <c r="H201" s="17">
        <f t="shared" si="87"/>
        <v>21218928.53796</v>
      </c>
      <c r="I201" s="17">
        <f t="shared" si="87"/>
        <v>22021562.989616361</v>
      </c>
      <c r="J201" s="17">
        <f t="shared" si="87"/>
        <v>22850673.594455417</v>
      </c>
      <c r="K201" s="17">
        <f t="shared" si="87"/>
        <v>23713575.115706719</v>
      </c>
      <c r="L201" s="17">
        <f t="shared" si="87"/>
        <v>24611645.413838103</v>
      </c>
      <c r="M201" s="17" t="s">
        <v>133</v>
      </c>
      <c r="N201" s="54" t="s">
        <v>133</v>
      </c>
      <c r="O201" s="17" t="s">
        <v>133</v>
      </c>
      <c r="P201" s="17" t="s">
        <v>133</v>
      </c>
      <c r="Q201" s="17" t="s">
        <v>133</v>
      </c>
      <c r="R201" s="17" t="s">
        <v>133</v>
      </c>
      <c r="S201" s="17" t="s">
        <v>133</v>
      </c>
      <c r="T201" s="17" t="s">
        <v>133</v>
      </c>
      <c r="U201" s="17" t="s">
        <v>133</v>
      </c>
      <c r="V201" s="17" t="s">
        <v>133</v>
      </c>
      <c r="W201" s="17" t="s">
        <v>133</v>
      </c>
      <c r="X201" s="17" t="s">
        <v>133</v>
      </c>
      <c r="Y201" s="17" t="s">
        <v>133</v>
      </c>
      <c r="Z201" s="17" t="s">
        <v>133</v>
      </c>
    </row>
    <row r="202" spans="1:26" s="5" customFormat="1" ht="25.5" customHeight="1" x14ac:dyDescent="0.25">
      <c r="A202" s="143" t="s">
        <v>226</v>
      </c>
      <c r="B202" s="16" t="s">
        <v>30</v>
      </c>
      <c r="C202" s="17" t="s">
        <v>22</v>
      </c>
      <c r="D202" s="17" t="s">
        <v>22</v>
      </c>
      <c r="E202" s="17" t="s">
        <v>22</v>
      </c>
      <c r="F202" s="17" t="s">
        <v>22</v>
      </c>
      <c r="G202" s="17" t="s">
        <v>22</v>
      </c>
      <c r="H202" s="17" t="s">
        <v>22</v>
      </c>
      <c r="I202" s="17" t="s">
        <v>22</v>
      </c>
      <c r="J202" s="17" t="s">
        <v>22</v>
      </c>
      <c r="K202" s="17" t="s">
        <v>22</v>
      </c>
      <c r="L202" s="17" t="s">
        <v>22</v>
      </c>
      <c r="M202" s="17" t="s">
        <v>133</v>
      </c>
      <c r="N202" s="54" t="s">
        <v>133</v>
      </c>
      <c r="O202" s="17" t="s">
        <v>133</v>
      </c>
      <c r="P202" s="17" t="s">
        <v>133</v>
      </c>
      <c r="Q202" s="17" t="s">
        <v>133</v>
      </c>
      <c r="R202" s="17" t="s">
        <v>133</v>
      </c>
      <c r="S202" s="17" t="s">
        <v>133</v>
      </c>
      <c r="T202" s="17" t="s">
        <v>133</v>
      </c>
      <c r="U202" s="17" t="s">
        <v>133</v>
      </c>
      <c r="V202" s="17" t="s">
        <v>133</v>
      </c>
      <c r="W202" s="17" t="s">
        <v>133</v>
      </c>
      <c r="X202" s="17" t="s">
        <v>133</v>
      </c>
      <c r="Y202" s="17" t="s">
        <v>133</v>
      </c>
      <c r="Z202" s="17" t="s">
        <v>133</v>
      </c>
    </row>
    <row r="203" spans="1:26" s="5" customFormat="1" ht="63.75" x14ac:dyDescent="0.25">
      <c r="A203" s="143"/>
      <c r="B203" s="16" t="s">
        <v>33</v>
      </c>
      <c r="C203" s="17" t="s">
        <v>22</v>
      </c>
      <c r="D203" s="17" t="s">
        <v>22</v>
      </c>
      <c r="E203" s="17" t="s">
        <v>22</v>
      </c>
      <c r="F203" s="17" t="s">
        <v>22</v>
      </c>
      <c r="G203" s="17" t="s">
        <v>22</v>
      </c>
      <c r="H203" s="17" t="s">
        <v>22</v>
      </c>
      <c r="I203" s="17" t="s">
        <v>22</v>
      </c>
      <c r="J203" s="17" t="s">
        <v>22</v>
      </c>
      <c r="K203" s="17" t="s">
        <v>22</v>
      </c>
      <c r="L203" s="17" t="s">
        <v>22</v>
      </c>
      <c r="M203" s="17" t="s">
        <v>133</v>
      </c>
      <c r="N203" s="54" t="s">
        <v>133</v>
      </c>
      <c r="O203" s="17" t="s">
        <v>133</v>
      </c>
      <c r="P203" s="17" t="s">
        <v>133</v>
      </c>
      <c r="Q203" s="17" t="s">
        <v>133</v>
      </c>
      <c r="R203" s="17" t="s">
        <v>133</v>
      </c>
      <c r="S203" s="17" t="s">
        <v>133</v>
      </c>
      <c r="T203" s="17" t="s">
        <v>133</v>
      </c>
      <c r="U203" s="17" t="s">
        <v>133</v>
      </c>
      <c r="V203" s="17" t="s">
        <v>133</v>
      </c>
      <c r="W203" s="17" t="s">
        <v>133</v>
      </c>
      <c r="X203" s="17" t="s">
        <v>133</v>
      </c>
      <c r="Y203" s="17" t="s">
        <v>133</v>
      </c>
      <c r="Z203" s="17" t="s">
        <v>133</v>
      </c>
    </row>
    <row r="204" spans="1:26" s="5" customFormat="1" ht="31.5" customHeight="1" x14ac:dyDescent="0.25">
      <c r="A204" s="143"/>
      <c r="B204" s="16" t="s">
        <v>35</v>
      </c>
      <c r="C204" s="17" t="s">
        <v>22</v>
      </c>
      <c r="D204" s="17" t="s">
        <v>22</v>
      </c>
      <c r="E204" s="17" t="s">
        <v>22</v>
      </c>
      <c r="F204" s="17" t="s">
        <v>22</v>
      </c>
      <c r="G204" s="17" t="s">
        <v>22</v>
      </c>
      <c r="H204" s="17" t="s">
        <v>22</v>
      </c>
      <c r="I204" s="17" t="s">
        <v>22</v>
      </c>
      <c r="J204" s="17" t="s">
        <v>22</v>
      </c>
      <c r="K204" s="17" t="s">
        <v>22</v>
      </c>
      <c r="L204" s="17" t="s">
        <v>22</v>
      </c>
      <c r="M204" s="17" t="s">
        <v>133</v>
      </c>
      <c r="N204" s="54" t="s">
        <v>133</v>
      </c>
      <c r="O204" s="17" t="s">
        <v>133</v>
      </c>
      <c r="P204" s="17" t="s">
        <v>133</v>
      </c>
      <c r="Q204" s="17" t="s">
        <v>133</v>
      </c>
      <c r="R204" s="17" t="s">
        <v>133</v>
      </c>
      <c r="S204" s="17" t="s">
        <v>133</v>
      </c>
      <c r="T204" s="17" t="s">
        <v>133</v>
      </c>
      <c r="U204" s="17" t="s">
        <v>133</v>
      </c>
      <c r="V204" s="17" t="s">
        <v>133</v>
      </c>
      <c r="W204" s="17" t="s">
        <v>133</v>
      </c>
      <c r="X204" s="17" t="s">
        <v>133</v>
      </c>
      <c r="Y204" s="17" t="s">
        <v>133</v>
      </c>
      <c r="Z204" s="17" t="s">
        <v>133</v>
      </c>
    </row>
    <row r="205" spans="1:26" ht="25.5" customHeight="1" x14ac:dyDescent="0.25">
      <c r="A205" s="143" t="s">
        <v>135</v>
      </c>
      <c r="B205" s="16" t="s">
        <v>70</v>
      </c>
      <c r="C205" s="17">
        <f>SUM(D205:L205)</f>
        <v>966000</v>
      </c>
      <c r="D205" s="17">
        <f>D33+D177</f>
        <v>966000</v>
      </c>
      <c r="E205" s="17">
        <f t="shared" ref="E205:L205" si="88">E206+E207</f>
        <v>0</v>
      </c>
      <c r="F205" s="17">
        <f t="shared" si="88"/>
        <v>0</v>
      </c>
      <c r="G205" s="17">
        <f t="shared" si="88"/>
        <v>0</v>
      </c>
      <c r="H205" s="17">
        <f t="shared" si="88"/>
        <v>0</v>
      </c>
      <c r="I205" s="17">
        <f t="shared" si="88"/>
        <v>0</v>
      </c>
      <c r="J205" s="17">
        <f t="shared" si="88"/>
        <v>0</v>
      </c>
      <c r="K205" s="17">
        <f t="shared" si="88"/>
        <v>0</v>
      </c>
      <c r="L205" s="17">
        <f t="shared" si="88"/>
        <v>0</v>
      </c>
      <c r="M205" s="17" t="s">
        <v>133</v>
      </c>
    </row>
    <row r="206" spans="1:26" ht="63.75" x14ac:dyDescent="0.25">
      <c r="A206" s="143"/>
      <c r="B206" s="16" t="s">
        <v>33</v>
      </c>
      <c r="C206" s="17">
        <f>SUM(D206:L206)</f>
        <v>0</v>
      </c>
      <c r="D206" s="17">
        <f>D34+D178</f>
        <v>0</v>
      </c>
      <c r="E206" s="17">
        <f t="shared" ref="E206:L206" si="89">E181+E34</f>
        <v>0</v>
      </c>
      <c r="F206" s="17">
        <f t="shared" si="89"/>
        <v>0</v>
      </c>
      <c r="G206" s="17">
        <f t="shared" si="89"/>
        <v>0</v>
      </c>
      <c r="H206" s="17">
        <f t="shared" si="89"/>
        <v>0</v>
      </c>
      <c r="I206" s="17">
        <f t="shared" si="89"/>
        <v>0</v>
      </c>
      <c r="J206" s="17">
        <f t="shared" si="89"/>
        <v>0</v>
      </c>
      <c r="K206" s="17">
        <f t="shared" si="89"/>
        <v>0</v>
      </c>
      <c r="L206" s="17">
        <f t="shared" si="89"/>
        <v>0</v>
      </c>
      <c r="M206" s="17" t="s">
        <v>133</v>
      </c>
    </row>
    <row r="207" spans="1:26" ht="30.75" customHeight="1" x14ac:dyDescent="0.25">
      <c r="A207" s="143"/>
      <c r="B207" s="16" t="s">
        <v>35</v>
      </c>
      <c r="C207" s="17">
        <f>SUM(D207:L207)</f>
        <v>966000</v>
      </c>
      <c r="D207" s="17">
        <f>D35+D179</f>
        <v>966000</v>
      </c>
      <c r="E207" s="17">
        <f t="shared" ref="E207:L207" si="90">E35+E179</f>
        <v>0</v>
      </c>
      <c r="F207" s="17">
        <f t="shared" si="90"/>
        <v>0</v>
      </c>
      <c r="G207" s="17">
        <f t="shared" si="90"/>
        <v>0</v>
      </c>
      <c r="H207" s="17">
        <f t="shared" si="90"/>
        <v>0</v>
      </c>
      <c r="I207" s="17">
        <f t="shared" si="90"/>
        <v>0</v>
      </c>
      <c r="J207" s="17">
        <f t="shared" si="90"/>
        <v>0</v>
      </c>
      <c r="K207" s="17">
        <f t="shared" si="90"/>
        <v>0</v>
      </c>
      <c r="L207" s="17">
        <f t="shared" si="90"/>
        <v>0</v>
      </c>
      <c r="M207" s="17" t="s">
        <v>133</v>
      </c>
    </row>
    <row r="212" spans="5:5" x14ac:dyDescent="0.25">
      <c r="E212" s="55"/>
    </row>
    <row r="213" spans="5:5" x14ac:dyDescent="0.25">
      <c r="E213" s="55"/>
    </row>
    <row r="214" spans="5:5" x14ac:dyDescent="0.25">
      <c r="E214" s="55"/>
    </row>
  </sheetData>
  <mergeCells count="302">
    <mergeCell ref="R54:R56"/>
    <mergeCell ref="Q54:Q56"/>
    <mergeCell ref="P54:P56"/>
    <mergeCell ref="O54:O56"/>
    <mergeCell ref="A196:A198"/>
    <mergeCell ref="A199:A201"/>
    <mergeCell ref="A202:A204"/>
    <mergeCell ref="A138:A140"/>
    <mergeCell ref="M138:M140"/>
    <mergeCell ref="A159:A161"/>
    <mergeCell ref="M159:M161"/>
    <mergeCell ref="M171:M173"/>
    <mergeCell ref="A176:M176"/>
    <mergeCell ref="A129:A131"/>
    <mergeCell ref="M129:M131"/>
    <mergeCell ref="O87:O88"/>
    <mergeCell ref="P87:P88"/>
    <mergeCell ref="Q87:Q88"/>
    <mergeCell ref="R87:R88"/>
    <mergeCell ref="A205:A207"/>
    <mergeCell ref="A186:M186"/>
    <mergeCell ref="A187:A189"/>
    <mergeCell ref="M187:M189"/>
    <mergeCell ref="A190:A192"/>
    <mergeCell ref="M190:M192"/>
    <mergeCell ref="A193:A195"/>
    <mergeCell ref="M193:M195"/>
    <mergeCell ref="A177:A179"/>
    <mergeCell ref="M177:M179"/>
    <mergeCell ref="A180:A182"/>
    <mergeCell ref="M180:M182"/>
    <mergeCell ref="A183:A185"/>
    <mergeCell ref="M183:M185"/>
    <mergeCell ref="W132:W134"/>
    <mergeCell ref="X132:X134"/>
    <mergeCell ref="Y132:Y134"/>
    <mergeCell ref="Z132:Z134"/>
    <mergeCell ref="A135:A137"/>
    <mergeCell ref="M135:M137"/>
    <mergeCell ref="Q132:Q134"/>
    <mergeCell ref="R132:R134"/>
    <mergeCell ref="S132:S134"/>
    <mergeCell ref="T132:T134"/>
    <mergeCell ref="U132:U134"/>
    <mergeCell ref="V132:V134"/>
    <mergeCell ref="A132:A134"/>
    <mergeCell ref="M132:M134"/>
    <mergeCell ref="O132:O134"/>
    <mergeCell ref="P132:P134"/>
    <mergeCell ref="U90:U92"/>
    <mergeCell ref="V90:V92"/>
    <mergeCell ref="W90:W92"/>
    <mergeCell ref="X90:X92"/>
    <mergeCell ref="Y90:Y92"/>
    <mergeCell ref="Z90:Z92"/>
    <mergeCell ref="Y87:Y88"/>
    <mergeCell ref="Z87:Z88"/>
    <mergeCell ref="A90:A92"/>
    <mergeCell ref="M90:M92"/>
    <mergeCell ref="O90:O92"/>
    <mergeCell ref="P90:P92"/>
    <mergeCell ref="Q90:Q92"/>
    <mergeCell ref="R90:R92"/>
    <mergeCell ref="S90:S92"/>
    <mergeCell ref="T90:T92"/>
    <mergeCell ref="S87:S88"/>
    <mergeCell ref="T87:T88"/>
    <mergeCell ref="U87:U88"/>
    <mergeCell ref="V87:V88"/>
    <mergeCell ref="W87:W88"/>
    <mergeCell ref="X87:X88"/>
    <mergeCell ref="A87:A89"/>
    <mergeCell ref="M87:M89"/>
    <mergeCell ref="U84:U86"/>
    <mergeCell ref="V84:V86"/>
    <mergeCell ref="W84:W86"/>
    <mergeCell ref="X84:X86"/>
    <mergeCell ref="Y84:Y86"/>
    <mergeCell ref="Z84:Z86"/>
    <mergeCell ref="O84:O86"/>
    <mergeCell ref="P84:P86"/>
    <mergeCell ref="Q84:Q86"/>
    <mergeCell ref="R84:R86"/>
    <mergeCell ref="S84:S86"/>
    <mergeCell ref="T84:T86"/>
    <mergeCell ref="U81:U83"/>
    <mergeCell ref="V81:V83"/>
    <mergeCell ref="W81:W83"/>
    <mergeCell ref="X81:X83"/>
    <mergeCell ref="Y81:Y83"/>
    <mergeCell ref="Z81:Z83"/>
    <mergeCell ref="O81:O83"/>
    <mergeCell ref="P81:P83"/>
    <mergeCell ref="Q81:Q83"/>
    <mergeCell ref="R81:R83"/>
    <mergeCell ref="S81:S83"/>
    <mergeCell ref="T81:T83"/>
    <mergeCell ref="U78:U80"/>
    <mergeCell ref="V78:V80"/>
    <mergeCell ref="W78:W80"/>
    <mergeCell ref="X78:X80"/>
    <mergeCell ref="Y78:Y80"/>
    <mergeCell ref="Z78:Z80"/>
    <mergeCell ref="O78:O80"/>
    <mergeCell ref="P78:P80"/>
    <mergeCell ref="Q78:Q80"/>
    <mergeCell ref="R78:R80"/>
    <mergeCell ref="S78:S80"/>
    <mergeCell ref="T78:T80"/>
    <mergeCell ref="U75:U77"/>
    <mergeCell ref="V75:V77"/>
    <mergeCell ref="W75:W77"/>
    <mergeCell ref="X75:X77"/>
    <mergeCell ref="Y75:Y77"/>
    <mergeCell ref="Z75:Z77"/>
    <mergeCell ref="O75:O77"/>
    <mergeCell ref="P75:P77"/>
    <mergeCell ref="Q75:Q77"/>
    <mergeCell ref="R75:R77"/>
    <mergeCell ref="S75:S77"/>
    <mergeCell ref="T75:T77"/>
    <mergeCell ref="U72:U74"/>
    <mergeCell ref="V72:V74"/>
    <mergeCell ref="W72:W74"/>
    <mergeCell ref="X72:X74"/>
    <mergeCell ref="Y72:Y74"/>
    <mergeCell ref="Z72:Z74"/>
    <mergeCell ref="O72:O74"/>
    <mergeCell ref="P72:P74"/>
    <mergeCell ref="Q72:Q74"/>
    <mergeCell ref="R72:R74"/>
    <mergeCell ref="S72:S74"/>
    <mergeCell ref="T72:T74"/>
    <mergeCell ref="U69:U71"/>
    <mergeCell ref="V69:V71"/>
    <mergeCell ref="W69:W71"/>
    <mergeCell ref="X69:X71"/>
    <mergeCell ref="Y69:Y71"/>
    <mergeCell ref="Z69:Z71"/>
    <mergeCell ref="O69:O71"/>
    <mergeCell ref="P69:P71"/>
    <mergeCell ref="Q69:Q71"/>
    <mergeCell ref="R69:R71"/>
    <mergeCell ref="S69:S71"/>
    <mergeCell ref="T69:T71"/>
    <mergeCell ref="U66:U67"/>
    <mergeCell ref="V66:V67"/>
    <mergeCell ref="W66:W67"/>
    <mergeCell ref="X66:X67"/>
    <mergeCell ref="Y66:Y67"/>
    <mergeCell ref="Z66:Z67"/>
    <mergeCell ref="O66:O67"/>
    <mergeCell ref="P66:P67"/>
    <mergeCell ref="Q66:Q67"/>
    <mergeCell ref="R66:R67"/>
    <mergeCell ref="S66:S67"/>
    <mergeCell ref="T66:T67"/>
    <mergeCell ref="U63:U65"/>
    <mergeCell ref="V63:V65"/>
    <mergeCell ref="W63:W65"/>
    <mergeCell ref="X63:X65"/>
    <mergeCell ref="Y63:Y65"/>
    <mergeCell ref="Z63:Z65"/>
    <mergeCell ref="O63:O65"/>
    <mergeCell ref="P63:P65"/>
    <mergeCell ref="Q63:Q65"/>
    <mergeCell ref="R63:R65"/>
    <mergeCell ref="S63:S65"/>
    <mergeCell ref="T63:T65"/>
    <mergeCell ref="U60:U62"/>
    <mergeCell ref="V60:V62"/>
    <mergeCell ref="W60:W62"/>
    <mergeCell ref="X60:X62"/>
    <mergeCell ref="Y60:Y62"/>
    <mergeCell ref="Z60:Z62"/>
    <mergeCell ref="O60:O62"/>
    <mergeCell ref="P60:P62"/>
    <mergeCell ref="Q60:Q62"/>
    <mergeCell ref="R60:R62"/>
    <mergeCell ref="S60:S62"/>
    <mergeCell ref="T60:T62"/>
    <mergeCell ref="U57:U59"/>
    <mergeCell ref="V57:V59"/>
    <mergeCell ref="W57:W59"/>
    <mergeCell ref="X57:X59"/>
    <mergeCell ref="Y57:Y59"/>
    <mergeCell ref="Z57:Z59"/>
    <mergeCell ref="O57:O59"/>
    <mergeCell ref="P57:P59"/>
    <mergeCell ref="Q57:Q59"/>
    <mergeCell ref="R57:R59"/>
    <mergeCell ref="S57:S59"/>
    <mergeCell ref="T57:T59"/>
    <mergeCell ref="U54:U56"/>
    <mergeCell ref="V54:V56"/>
    <mergeCell ref="W54:W56"/>
    <mergeCell ref="X54:X56"/>
    <mergeCell ref="Y54:Y56"/>
    <mergeCell ref="Z54:Z56"/>
    <mergeCell ref="Y48:Y50"/>
    <mergeCell ref="Z48:Z50"/>
    <mergeCell ref="A51:A53"/>
    <mergeCell ref="M51:M53"/>
    <mergeCell ref="S48:S50"/>
    <mergeCell ref="T48:T50"/>
    <mergeCell ref="U48:U50"/>
    <mergeCell ref="V48:V50"/>
    <mergeCell ref="W48:W50"/>
    <mergeCell ref="X48:X50"/>
    <mergeCell ref="A48:A50"/>
    <mergeCell ref="M48:M50"/>
    <mergeCell ref="O48:O50"/>
    <mergeCell ref="P48:P50"/>
    <mergeCell ref="Q48:Q50"/>
    <mergeCell ref="R48:R50"/>
    <mergeCell ref="T54:T56"/>
    <mergeCell ref="S54:S56"/>
    <mergeCell ref="P23:P24"/>
    <mergeCell ref="Q23:Q24"/>
    <mergeCell ref="R23:R24"/>
    <mergeCell ref="Y29:Y30"/>
    <mergeCell ref="Z29:Z30"/>
    <mergeCell ref="A33:A35"/>
    <mergeCell ref="M33:M35"/>
    <mergeCell ref="S29:S30"/>
    <mergeCell ref="T29:T30"/>
    <mergeCell ref="U29:U30"/>
    <mergeCell ref="V29:V30"/>
    <mergeCell ref="W29:W30"/>
    <mergeCell ref="X29:X30"/>
    <mergeCell ref="A29:A31"/>
    <mergeCell ref="M29:M31"/>
    <mergeCell ref="O29:O30"/>
    <mergeCell ref="P29:P30"/>
    <mergeCell ref="Q29:Q30"/>
    <mergeCell ref="R29:R30"/>
    <mergeCell ref="Y23:Y24"/>
    <mergeCell ref="Z23:Z24"/>
    <mergeCell ref="A39:A41"/>
    <mergeCell ref="M39:M41"/>
    <mergeCell ref="A42:A44"/>
    <mergeCell ref="M42:M44"/>
    <mergeCell ref="A45:A47"/>
    <mergeCell ref="M45:M47"/>
    <mergeCell ref="S26:S27"/>
    <mergeCell ref="T26:T27"/>
    <mergeCell ref="U26:U27"/>
    <mergeCell ref="A36:A38"/>
    <mergeCell ref="M36:M38"/>
    <mergeCell ref="AD23:AE23"/>
    <mergeCell ref="AD25:AE25"/>
    <mergeCell ref="A26:A28"/>
    <mergeCell ref="M26:M28"/>
    <mergeCell ref="O26:O27"/>
    <mergeCell ref="P26:P27"/>
    <mergeCell ref="Q26:Q27"/>
    <mergeCell ref="R26:R27"/>
    <mergeCell ref="S23:S24"/>
    <mergeCell ref="T23:T24"/>
    <mergeCell ref="U23:U24"/>
    <mergeCell ref="V23:V24"/>
    <mergeCell ref="W23:W24"/>
    <mergeCell ref="X23:X24"/>
    <mergeCell ref="Y26:Y27"/>
    <mergeCell ref="Z26:Z27"/>
    <mergeCell ref="AD26:AE26"/>
    <mergeCell ref="AD28:AE28"/>
    <mergeCell ref="V26:V27"/>
    <mergeCell ref="W26:W27"/>
    <mergeCell ref="X26:X27"/>
    <mergeCell ref="A23:A25"/>
    <mergeCell ref="M23:M25"/>
    <mergeCell ref="O23:O24"/>
    <mergeCell ref="O8:Y8"/>
    <mergeCell ref="Z8:Z9"/>
    <mergeCell ref="A10:M10"/>
    <mergeCell ref="A11:M11"/>
    <mergeCell ref="A13:M13"/>
    <mergeCell ref="A15:M15"/>
    <mergeCell ref="W20:W21"/>
    <mergeCell ref="X20:X21"/>
    <mergeCell ref="Y20:Y21"/>
    <mergeCell ref="Z20:Z21"/>
    <mergeCell ref="T20:T21"/>
    <mergeCell ref="U20:U21"/>
    <mergeCell ref="V20:V21"/>
    <mergeCell ref="Q20:Q21"/>
    <mergeCell ref="R20:R21"/>
    <mergeCell ref="S20:S21"/>
    <mergeCell ref="A20:A22"/>
    <mergeCell ref="M20:M22"/>
    <mergeCell ref="O20:O21"/>
    <mergeCell ref="P20:P21"/>
    <mergeCell ref="A3:M3"/>
    <mergeCell ref="A8:A9"/>
    <mergeCell ref="B8:B9"/>
    <mergeCell ref="C8:C9"/>
    <mergeCell ref="D8:L8"/>
    <mergeCell ref="M8:M9"/>
    <mergeCell ref="A16:A18"/>
    <mergeCell ref="M16:M18"/>
    <mergeCell ref="I1:M1"/>
  </mergeCells>
  <pageMargins left="1.1811023622047245" right="0.39370078740157483" top="0.74803149606299213" bottom="0.39370078740157483" header="0.31496062992125984" footer="0.31496062992125984"/>
  <pageSetup paperSize="9" scale="35" firstPageNumber="5" orientation="portrait" useFirstPageNumber="1" verticalDpi="0" r:id="rId1"/>
  <headerFooter>
    <oddHeader>&amp;C&amp;"Times New Roman,обычный"&amp;20&amp;P</oddHeader>
  </headerFooter>
  <rowBreaks count="2" manualBreakCount="2">
    <brk id="44" max="16383" man="1"/>
    <brk id="1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opLeftCell="A10" zoomScaleNormal="70" zoomScaleSheetLayoutView="90" workbookViewId="0">
      <selection activeCell="I1" sqref="I1"/>
    </sheetView>
  </sheetViews>
  <sheetFormatPr defaultRowHeight="15" x14ac:dyDescent="0.25"/>
  <cols>
    <col min="1" max="1" width="31.7109375" customWidth="1"/>
    <col min="2" max="2" width="16.5703125" customWidth="1"/>
    <col min="3" max="3" width="21" customWidth="1"/>
    <col min="4" max="4" width="11.42578125" customWidth="1"/>
    <col min="5" max="5" width="24.140625" bestFit="1" customWidth="1"/>
    <col min="6" max="6" width="14" bestFit="1" customWidth="1"/>
    <col min="7" max="7" width="12.85546875" bestFit="1" customWidth="1"/>
    <col min="8" max="9" width="11.7109375" bestFit="1" customWidth="1"/>
    <col min="10" max="15" width="12.85546875" bestFit="1" customWidth="1"/>
  </cols>
  <sheetData>
    <row r="1" spans="1:15" ht="105" customHeight="1" x14ac:dyDescent="0.3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157" t="s">
        <v>232</v>
      </c>
      <c r="M1" s="158"/>
      <c r="N1" s="158"/>
      <c r="O1" s="158"/>
    </row>
    <row r="2" spans="1:15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23.25" x14ac:dyDescent="0.25">
      <c r="A3" s="159" t="s">
        <v>204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</row>
    <row r="4" spans="1:15" ht="23.25" x14ac:dyDescent="0.25">
      <c r="A4" s="159" t="s">
        <v>205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</row>
    <row r="5" spans="1:15" ht="18.75" x14ac:dyDescent="0.25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5" ht="23.25" x14ac:dyDescent="0.35">
      <c r="A6" s="99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111" t="s">
        <v>206</v>
      </c>
    </row>
    <row r="7" spans="1:15" ht="15.75" x14ac:dyDescent="0.25">
      <c r="A7" s="99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100"/>
    </row>
    <row r="8" spans="1:15" x14ac:dyDescent="0.25">
      <c r="A8" s="160" t="s">
        <v>207</v>
      </c>
      <c r="B8" s="160" t="s">
        <v>208</v>
      </c>
      <c r="C8" s="115" t="s">
        <v>209</v>
      </c>
      <c r="D8" s="115" t="s">
        <v>227</v>
      </c>
      <c r="E8" s="160" t="s">
        <v>3</v>
      </c>
      <c r="F8" s="160" t="s">
        <v>210</v>
      </c>
      <c r="G8" s="160"/>
      <c r="H8" s="160"/>
      <c r="I8" s="160"/>
      <c r="J8" s="160"/>
      <c r="K8" s="160"/>
      <c r="L8" s="160"/>
      <c r="M8" s="160"/>
      <c r="N8" s="160"/>
      <c r="O8" s="160"/>
    </row>
    <row r="9" spans="1:15" ht="42.75" customHeight="1" x14ac:dyDescent="0.25">
      <c r="A9" s="160"/>
      <c r="B9" s="160"/>
      <c r="C9" s="115"/>
      <c r="D9" s="115"/>
      <c r="E9" s="160"/>
      <c r="F9" s="101" t="s">
        <v>211</v>
      </c>
      <c r="G9" s="101" t="s">
        <v>8</v>
      </c>
      <c r="H9" s="101" t="s">
        <v>9</v>
      </c>
      <c r="I9" s="101" t="s">
        <v>10</v>
      </c>
      <c r="J9" s="101" t="s">
        <v>11</v>
      </c>
      <c r="K9" s="101" t="s">
        <v>12</v>
      </c>
      <c r="L9" s="101" t="s">
        <v>13</v>
      </c>
      <c r="M9" s="101" t="s">
        <v>14</v>
      </c>
      <c r="N9" s="101" t="s">
        <v>15</v>
      </c>
      <c r="O9" s="101" t="s">
        <v>16</v>
      </c>
    </row>
    <row r="10" spans="1:15" x14ac:dyDescent="0.25">
      <c r="A10" s="161" t="s">
        <v>212</v>
      </c>
      <c r="B10" s="161" t="s">
        <v>23</v>
      </c>
      <c r="C10" s="162" t="s">
        <v>213</v>
      </c>
      <c r="D10" s="161" t="s">
        <v>228</v>
      </c>
      <c r="E10" s="102" t="s">
        <v>214</v>
      </c>
      <c r="F10" s="103">
        <f t="shared" ref="F10:F15" si="0">G10+H10+I10+J10+K10+L10+M10+N10+O10</f>
        <v>197650909.54409489</v>
      </c>
      <c r="G10" s="103">
        <f>G11+G12</f>
        <v>28193369.25</v>
      </c>
      <c r="H10" s="103">
        <f t="shared" ref="H10:O10" si="1">H11+H12</f>
        <v>2500000</v>
      </c>
      <c r="I10" s="103">
        <f t="shared" si="1"/>
        <v>2500000</v>
      </c>
      <c r="J10" s="103">
        <f t="shared" si="1"/>
        <v>25839955.560000002</v>
      </c>
      <c r="K10" s="103">
        <f t="shared" si="1"/>
        <v>26436928.53796</v>
      </c>
      <c r="L10" s="103">
        <f t="shared" si="1"/>
        <v>27058350.989616361</v>
      </c>
      <c r="M10" s="103">
        <f t="shared" si="1"/>
        <v>27698738.530455418</v>
      </c>
      <c r="N10" s="103">
        <f t="shared" si="1"/>
        <v>28365094.452618718</v>
      </c>
      <c r="O10" s="103">
        <f t="shared" si="1"/>
        <v>29058472.223444406</v>
      </c>
    </row>
    <row r="11" spans="1:15" ht="38.25" x14ac:dyDescent="0.25">
      <c r="A11" s="161"/>
      <c r="B11" s="161"/>
      <c r="C11" s="162"/>
      <c r="D11" s="161"/>
      <c r="E11" s="102" t="s">
        <v>33</v>
      </c>
      <c r="F11" s="103">
        <f t="shared" si="0"/>
        <v>82204500</v>
      </c>
      <c r="G11" s="103">
        <f>'Приложение 2'!D37</f>
        <v>14644500</v>
      </c>
      <c r="H11" s="103">
        <f>'Приложение 2'!E37</f>
        <v>0</v>
      </c>
      <c r="I11" s="103">
        <f>'Приложение 2'!F37</f>
        <v>0</v>
      </c>
      <c r="J11" s="103">
        <f>'Приложение 2'!G37</f>
        <v>11260000</v>
      </c>
      <c r="K11" s="103">
        <f>'Приложение 2'!H37</f>
        <v>11260000</v>
      </c>
      <c r="L11" s="103">
        <f>'Приложение 2'!I37</f>
        <v>11260000</v>
      </c>
      <c r="M11" s="103">
        <f>'Приложение 2'!J37</f>
        <v>11260000</v>
      </c>
      <c r="N11" s="103">
        <f>'Приложение 2'!K37</f>
        <v>11260000</v>
      </c>
      <c r="O11" s="103">
        <f>'Приложение 2'!L37</f>
        <v>11260000</v>
      </c>
    </row>
    <row r="12" spans="1:15" ht="25.5" x14ac:dyDescent="0.25">
      <c r="A12" s="161"/>
      <c r="B12" s="161"/>
      <c r="C12" s="162"/>
      <c r="D12" s="161"/>
      <c r="E12" s="102" t="s">
        <v>215</v>
      </c>
      <c r="F12" s="103">
        <f t="shared" si="0"/>
        <v>115446409.54409489</v>
      </c>
      <c r="G12" s="103">
        <f>'Приложение 2'!D38</f>
        <v>13548869.25</v>
      </c>
      <c r="H12" s="103">
        <f>'Приложение 2'!E38</f>
        <v>2500000</v>
      </c>
      <c r="I12" s="103">
        <f>'Приложение 2'!F38</f>
        <v>2500000</v>
      </c>
      <c r="J12" s="103">
        <f>'Приложение 2'!G38</f>
        <v>14579955.560000001</v>
      </c>
      <c r="K12" s="103">
        <f>'Приложение 2'!H38</f>
        <v>15176928.53796</v>
      </c>
      <c r="L12" s="103">
        <f>'Приложение 2'!I38</f>
        <v>15798350.989616361</v>
      </c>
      <c r="M12" s="103">
        <f>'Приложение 2'!J38</f>
        <v>16438738.530455416</v>
      </c>
      <c r="N12" s="103">
        <f>'Приложение 2'!K38</f>
        <v>17105094.452618718</v>
      </c>
      <c r="O12" s="103">
        <f>'Приложение 2'!L38</f>
        <v>17798472.223444406</v>
      </c>
    </row>
    <row r="13" spans="1:15" ht="25.5" customHeight="1" x14ac:dyDescent="0.25">
      <c r="A13" s="161" t="s">
        <v>216</v>
      </c>
      <c r="B13" s="161" t="s">
        <v>23</v>
      </c>
      <c r="C13" s="162" t="s">
        <v>217</v>
      </c>
      <c r="D13" s="161" t="s">
        <v>228</v>
      </c>
      <c r="E13" s="102" t="s">
        <v>214</v>
      </c>
      <c r="F13" s="103">
        <f t="shared" si="0"/>
        <v>37272658.597481698</v>
      </c>
      <c r="G13" s="103">
        <f>'Приложение 2'!D129</f>
        <v>2762747.42</v>
      </c>
      <c r="H13" s="103">
        <f>'[1]2. Мероприятия'!E129</f>
        <v>275555.13</v>
      </c>
      <c r="I13" s="103">
        <f>'[1]2. Мероприятия'!F129</f>
        <v>275555.13</v>
      </c>
      <c r="J13" s="103">
        <f>'[1]2. Мероприятия'!G129</f>
        <v>5200000</v>
      </c>
      <c r="K13" s="103">
        <f>'[1]2. Мероприятия'!H129</f>
        <v>5374000</v>
      </c>
      <c r="L13" s="103">
        <f>'[1]2. Мероприятия'!I129</f>
        <v>5555212</v>
      </c>
      <c r="M13" s="103">
        <f>'[1]2. Мероприятия'!J129</f>
        <v>5743935.0640000002</v>
      </c>
      <c r="N13" s="103">
        <f>'[1]2. Мероприятия'!K129</f>
        <v>5940480.6630880004</v>
      </c>
      <c r="O13" s="103">
        <f>'[1]2. Мероприятия'!L129</f>
        <v>6145173.1903936965</v>
      </c>
    </row>
    <row r="14" spans="1:15" ht="40.5" customHeight="1" x14ac:dyDescent="0.25">
      <c r="A14" s="161"/>
      <c r="B14" s="161"/>
      <c r="C14" s="162"/>
      <c r="D14" s="161"/>
      <c r="E14" s="102" t="s">
        <v>33</v>
      </c>
      <c r="F14" s="103">
        <f t="shared" si="0"/>
        <v>7257600</v>
      </c>
      <c r="G14" s="103">
        <f>'[1]2. Мероприятия'!D130</f>
        <v>1257600</v>
      </c>
      <c r="H14" s="103">
        <f>'[1]2. Мероприятия'!E130</f>
        <v>0</v>
      </c>
      <c r="I14" s="103">
        <f>'[1]2. Мероприятия'!F130</f>
        <v>0</v>
      </c>
      <c r="J14" s="103">
        <f>'[1]2. Мероприятия'!G130</f>
        <v>1000000</v>
      </c>
      <c r="K14" s="103">
        <f>'[1]2. Мероприятия'!H130</f>
        <v>1000000</v>
      </c>
      <c r="L14" s="103">
        <f>'[1]2. Мероприятия'!I130</f>
        <v>1000000</v>
      </c>
      <c r="M14" s="103">
        <f>'[1]2. Мероприятия'!J130</f>
        <v>1000000</v>
      </c>
      <c r="N14" s="103">
        <f>'[1]2. Мероприятия'!K130</f>
        <v>1000000</v>
      </c>
      <c r="O14" s="103">
        <f>'[1]2. Мероприятия'!L130</f>
        <v>1000000</v>
      </c>
    </row>
    <row r="15" spans="1:15" ht="29.25" customHeight="1" x14ac:dyDescent="0.25">
      <c r="A15" s="161"/>
      <c r="B15" s="161"/>
      <c r="C15" s="162"/>
      <c r="D15" s="161"/>
      <c r="E15" s="102" t="s">
        <v>215</v>
      </c>
      <c r="F15" s="103">
        <f t="shared" si="0"/>
        <v>30015058.597481698</v>
      </c>
      <c r="G15" s="103">
        <f>'Приложение 2'!D131</f>
        <v>1505147.42</v>
      </c>
      <c r="H15" s="103">
        <f>'[1]2. Мероприятия'!E131</f>
        <v>275555.13</v>
      </c>
      <c r="I15" s="103">
        <f>'[1]2. Мероприятия'!F131</f>
        <v>275555.13</v>
      </c>
      <c r="J15" s="103">
        <f>'[1]2. Мероприятия'!G131</f>
        <v>4200000</v>
      </c>
      <c r="K15" s="103">
        <f>'[1]2. Мероприятия'!H131</f>
        <v>4374000</v>
      </c>
      <c r="L15" s="103">
        <f>'[1]2. Мероприятия'!I131</f>
        <v>4555212</v>
      </c>
      <c r="M15" s="103">
        <f>'[1]2. Мероприятия'!J131</f>
        <v>4743935.0640000002</v>
      </c>
      <c r="N15" s="103">
        <f>'[1]2. Мероприятия'!K131</f>
        <v>4940480.6630880004</v>
      </c>
      <c r="O15" s="103">
        <f>'[1]2. Мероприятия'!L131</f>
        <v>5145173.1903936965</v>
      </c>
    </row>
  </sheetData>
  <mergeCells count="17">
    <mergeCell ref="A10:A12"/>
    <mergeCell ref="B10:B12"/>
    <mergeCell ref="C10:C12"/>
    <mergeCell ref="D10:D12"/>
    <mergeCell ref="A13:A15"/>
    <mergeCell ref="B13:B15"/>
    <mergeCell ref="C13:C15"/>
    <mergeCell ref="D13:D15"/>
    <mergeCell ref="L1:O1"/>
    <mergeCell ref="A3:O3"/>
    <mergeCell ref="A4:O4"/>
    <mergeCell ref="A8:A9"/>
    <mergeCell ref="B8:B9"/>
    <mergeCell ref="C8:C9"/>
    <mergeCell ref="D8:D9"/>
    <mergeCell ref="E8:E9"/>
    <mergeCell ref="F8:O8"/>
  </mergeCells>
  <pageMargins left="0.70866141732283472" right="0.70866141732283472" top="1.1811023622047245" bottom="0.74803149606299213" header="0.31496062992125984" footer="0.31496062992125984"/>
  <pageSetup paperSize="9" scale="55" orientation="landscape" verticalDpi="0" r:id="rId1"/>
  <headerFooter>
    <oddHeader>&amp;C&amp;"Times New Roman,обычный"&amp;14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2022-12-29T07:45:28Z</dcterms:modified>
</cp:coreProperties>
</file>