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ik_nv\Desktop\МПА на согласовании\Изменение 8993 октябрь\на печать\в новой редации 23.10.20\"/>
    </mc:Choice>
  </mc:AlternateContent>
  <bookViews>
    <workbookView xWindow="-105" yWindow="-105" windowWidth="23250" windowHeight="12570"/>
  </bookViews>
  <sheets>
    <sheet name="таблица 4" sheetId="2" r:id="rId1"/>
  </sheets>
  <definedNames>
    <definedName name="_xlnm.Print_Titles" localSheetId="0">'таблица 4'!$9:$11</definedName>
    <definedName name="_xlnm.Print_Area" localSheetId="0">'таблица 4'!$A$1:$O$204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2" l="1"/>
  <c r="E24" i="2"/>
  <c r="F24" i="2"/>
  <c r="G24" i="2"/>
  <c r="H24" i="2"/>
  <c r="I24" i="2"/>
  <c r="J24" i="2"/>
  <c r="K24" i="2"/>
  <c r="L24" i="2"/>
  <c r="M24" i="2"/>
  <c r="N24" i="2"/>
  <c r="D24" i="2"/>
  <c r="F211" i="2" l="1"/>
  <c r="E211" i="2"/>
  <c r="D211" i="2"/>
  <c r="C28" i="2"/>
  <c r="C27" i="2" s="1"/>
  <c r="N27" i="2"/>
  <c r="M27" i="2"/>
  <c r="L27" i="2"/>
  <c r="K27" i="2"/>
  <c r="J27" i="2"/>
  <c r="I27" i="2"/>
  <c r="H27" i="2"/>
  <c r="G27" i="2"/>
  <c r="F27" i="2"/>
  <c r="E27" i="2"/>
  <c r="D27" i="2"/>
  <c r="J62" i="2" l="1"/>
  <c r="I62" i="2"/>
  <c r="H62" i="2"/>
  <c r="L62" i="2"/>
  <c r="K62" i="2"/>
  <c r="G62" i="2"/>
  <c r="L61" i="2"/>
  <c r="K61" i="2"/>
  <c r="J61" i="2"/>
  <c r="I61" i="2"/>
  <c r="H61" i="2"/>
  <c r="G61" i="2"/>
  <c r="C117" i="2"/>
  <c r="D191" i="2" l="1"/>
  <c r="D74" i="2"/>
  <c r="E74" i="2"/>
  <c r="F74" i="2"/>
  <c r="H74" i="2"/>
  <c r="I74" i="2"/>
  <c r="J74" i="2"/>
  <c r="K74" i="2"/>
  <c r="L74" i="2"/>
  <c r="M74" i="2"/>
  <c r="N74" i="2"/>
  <c r="C75" i="2"/>
  <c r="E191" i="2" l="1"/>
  <c r="F191" i="2"/>
  <c r="E64" i="2"/>
  <c r="F64" i="2"/>
  <c r="D64" i="2"/>
  <c r="D65" i="2"/>
  <c r="E65" i="2"/>
  <c r="F65" i="2"/>
  <c r="D59" i="2"/>
  <c r="E59" i="2"/>
  <c r="F59" i="2"/>
  <c r="G59" i="2"/>
  <c r="H59" i="2"/>
  <c r="I59" i="2"/>
  <c r="J59" i="2"/>
  <c r="K59" i="2"/>
  <c r="L59" i="2"/>
  <c r="M59" i="2"/>
  <c r="N59" i="2"/>
  <c r="C60" i="2"/>
  <c r="C64" i="2" l="1"/>
  <c r="E162" i="2"/>
  <c r="F162" i="2"/>
  <c r="G162" i="2"/>
  <c r="H162" i="2"/>
  <c r="I162" i="2"/>
  <c r="J162" i="2"/>
  <c r="K162" i="2"/>
  <c r="L162" i="2"/>
  <c r="M162" i="2"/>
  <c r="N162" i="2"/>
  <c r="D162" i="2"/>
  <c r="D136" i="2"/>
  <c r="E135" i="2"/>
  <c r="F135" i="2"/>
  <c r="G135" i="2"/>
  <c r="H135" i="2"/>
  <c r="I135" i="2"/>
  <c r="J135" i="2"/>
  <c r="K135" i="2"/>
  <c r="L135" i="2"/>
  <c r="M135" i="2"/>
  <c r="N135" i="2"/>
  <c r="D135" i="2"/>
  <c r="D131" i="2"/>
  <c r="E131" i="2"/>
  <c r="F131" i="2"/>
  <c r="H131" i="2"/>
  <c r="I131" i="2"/>
  <c r="J131" i="2"/>
  <c r="K131" i="2"/>
  <c r="L131" i="2"/>
  <c r="M131" i="2"/>
  <c r="N131" i="2"/>
  <c r="C132" i="2"/>
  <c r="D79" i="2"/>
  <c r="E66" i="2"/>
  <c r="E63" i="2" s="1"/>
  <c r="F66" i="2"/>
  <c r="F63" i="2" s="1"/>
  <c r="G66" i="2"/>
  <c r="H66" i="2"/>
  <c r="I66" i="2"/>
  <c r="J66" i="2"/>
  <c r="K66" i="2"/>
  <c r="L66" i="2"/>
  <c r="M66" i="2"/>
  <c r="N66" i="2"/>
  <c r="D66" i="2"/>
  <c r="D63" i="2" s="1"/>
  <c r="C70" i="2"/>
  <c r="C69" i="2" s="1"/>
  <c r="N69" i="2"/>
  <c r="M69" i="2"/>
  <c r="L69" i="2"/>
  <c r="K69" i="2"/>
  <c r="J69" i="2"/>
  <c r="I69" i="2"/>
  <c r="H69" i="2"/>
  <c r="G69" i="2"/>
  <c r="F69" i="2"/>
  <c r="E69" i="2"/>
  <c r="D69" i="2"/>
  <c r="D50" i="2"/>
  <c r="E50" i="2"/>
  <c r="F50" i="2"/>
  <c r="G50" i="2"/>
  <c r="H50" i="2"/>
  <c r="I50" i="2"/>
  <c r="J50" i="2"/>
  <c r="K50" i="2"/>
  <c r="L50" i="2"/>
  <c r="M50" i="2"/>
  <c r="N50" i="2"/>
  <c r="C52" i="2"/>
  <c r="D134" i="2" l="1"/>
  <c r="C135" i="2"/>
  <c r="E92" i="2" l="1"/>
  <c r="E126" i="2" s="1"/>
  <c r="E104" i="2" l="1"/>
  <c r="D100" i="2"/>
  <c r="D97" i="2"/>
  <c r="E105" i="2"/>
  <c r="D98" i="2"/>
  <c r="F200" i="2" l="1"/>
  <c r="D140" i="2"/>
  <c r="D40" i="2"/>
  <c r="D196" i="2" s="1"/>
  <c r="C196" i="2" s="1"/>
  <c r="N48" i="2"/>
  <c r="M48" i="2"/>
  <c r="L48" i="2"/>
  <c r="K48" i="2"/>
  <c r="J48" i="2"/>
  <c r="I48" i="2"/>
  <c r="H48" i="2"/>
  <c r="G48" i="2"/>
  <c r="F48" i="2"/>
  <c r="E48" i="2"/>
  <c r="D48" i="2"/>
  <c r="C49" i="2"/>
  <c r="C48" i="2" s="1"/>
  <c r="C40" i="2" l="1"/>
  <c r="E200" i="2"/>
  <c r="F203" i="2"/>
  <c r="G203" i="2"/>
  <c r="H203" i="2"/>
  <c r="I203" i="2"/>
  <c r="J203" i="2"/>
  <c r="F204" i="2"/>
  <c r="G204" i="2"/>
  <c r="H204" i="2"/>
  <c r="I204" i="2"/>
  <c r="J204" i="2"/>
  <c r="E204" i="2"/>
  <c r="E203" i="2"/>
  <c r="G26" i="2" l="1"/>
  <c r="G22" i="2"/>
  <c r="G18" i="2"/>
  <c r="G16" i="2"/>
  <c r="G37" i="2"/>
  <c r="G43" i="2"/>
  <c r="G73" i="2"/>
  <c r="G77" i="2"/>
  <c r="G74" i="2" s="1"/>
  <c r="G81" i="2"/>
  <c r="G133" i="2"/>
  <c r="G131" i="2" s="1"/>
  <c r="G142" i="2"/>
  <c r="G168" i="2"/>
  <c r="G171" i="2"/>
  <c r="D200" i="2" l="1"/>
  <c r="C191" i="2" l="1"/>
  <c r="D161" i="2"/>
  <c r="C161" i="2" s="1"/>
  <c r="C162" i="2"/>
  <c r="N158" i="2"/>
  <c r="M158" i="2"/>
  <c r="L158" i="2"/>
  <c r="K158" i="2"/>
  <c r="J158" i="2"/>
  <c r="I158" i="2"/>
  <c r="H158" i="2"/>
  <c r="G158" i="2"/>
  <c r="F158" i="2"/>
  <c r="E158" i="2"/>
  <c r="D158" i="2"/>
  <c r="N154" i="2"/>
  <c r="M154" i="2"/>
  <c r="L154" i="2"/>
  <c r="K154" i="2"/>
  <c r="J154" i="2"/>
  <c r="I154" i="2"/>
  <c r="H154" i="2"/>
  <c r="G154" i="2"/>
  <c r="F154" i="2"/>
  <c r="E154" i="2"/>
  <c r="D154" i="2"/>
  <c r="E157" i="2"/>
  <c r="E156" i="2" s="1"/>
  <c r="F157" i="2"/>
  <c r="F156" i="2" s="1"/>
  <c r="G157" i="2"/>
  <c r="G156" i="2" s="1"/>
  <c r="H157" i="2"/>
  <c r="H156" i="2" s="1"/>
  <c r="I157" i="2"/>
  <c r="I156" i="2" s="1"/>
  <c r="J157" i="2"/>
  <c r="J156" i="2" s="1"/>
  <c r="K157" i="2"/>
  <c r="K156" i="2" s="1"/>
  <c r="L157" i="2"/>
  <c r="L156" i="2" s="1"/>
  <c r="M157" i="2"/>
  <c r="M156" i="2" s="1"/>
  <c r="N157" i="2"/>
  <c r="N156" i="2" s="1"/>
  <c r="D157" i="2"/>
  <c r="D156" i="2" s="1"/>
  <c r="E153" i="2"/>
  <c r="F153" i="2"/>
  <c r="G153" i="2"/>
  <c r="G152" i="2" s="1"/>
  <c r="H153" i="2"/>
  <c r="H152" i="2" s="1"/>
  <c r="I153" i="2"/>
  <c r="I152" i="2" s="1"/>
  <c r="J153" i="2"/>
  <c r="J152" i="2" s="1"/>
  <c r="K153" i="2"/>
  <c r="K152" i="2" s="1"/>
  <c r="L153" i="2"/>
  <c r="L152" i="2" s="1"/>
  <c r="M153" i="2"/>
  <c r="M152" i="2" s="1"/>
  <c r="N153" i="2"/>
  <c r="N152" i="2" s="1"/>
  <c r="D153" i="2"/>
  <c r="C159" i="2"/>
  <c r="C158" i="2" s="1"/>
  <c r="C155" i="2"/>
  <c r="C154" i="2" s="1"/>
  <c r="C150" i="2"/>
  <c r="F201" i="2" l="1"/>
  <c r="D152" i="2"/>
  <c r="D163" i="2"/>
  <c r="C157" i="2"/>
  <c r="C156" i="2" s="1"/>
  <c r="F152" i="2"/>
  <c r="E152" i="2"/>
  <c r="E201" i="2"/>
  <c r="C153" i="2"/>
  <c r="C152" i="2" s="1"/>
  <c r="H147" i="2"/>
  <c r="I147" i="2"/>
  <c r="J147" i="2"/>
  <c r="K147" i="2"/>
  <c r="L147" i="2"/>
  <c r="M147" i="2"/>
  <c r="N147" i="2"/>
  <c r="D147" i="2"/>
  <c r="E147" i="2"/>
  <c r="F147" i="2"/>
  <c r="G147" i="2"/>
  <c r="C149" i="2"/>
  <c r="C148" i="2"/>
  <c r="C147" i="2" l="1"/>
  <c r="D201" i="2"/>
  <c r="D54" i="2"/>
  <c r="K174" i="2" l="1"/>
  <c r="K193" i="2" s="1"/>
  <c r="G137" i="2"/>
  <c r="N174" i="2" l="1"/>
  <c r="N193" i="2" s="1"/>
  <c r="M174" i="2"/>
  <c r="M193" i="2" s="1"/>
  <c r="J174" i="2"/>
  <c r="J193" i="2" s="1"/>
  <c r="I174" i="2"/>
  <c r="I193" i="2" s="1"/>
  <c r="G174" i="2"/>
  <c r="G193" i="2" s="1"/>
  <c r="H174" i="2"/>
  <c r="H193" i="2" s="1"/>
  <c r="L174" i="2"/>
  <c r="L193" i="2" s="1"/>
  <c r="K203" i="2" l="1"/>
  <c r="K204" i="2"/>
  <c r="G201" i="2" l="1"/>
  <c r="H201" i="2"/>
  <c r="I201" i="2"/>
  <c r="J201" i="2"/>
  <c r="G200" i="2"/>
  <c r="H200" i="2"/>
  <c r="I200" i="2"/>
  <c r="J200" i="2"/>
  <c r="K200" i="2"/>
  <c r="L200" i="2"/>
  <c r="M200" i="2"/>
  <c r="N200" i="2"/>
  <c r="E54" i="2" l="1"/>
  <c r="F54" i="2"/>
  <c r="G54" i="2"/>
  <c r="H54" i="2"/>
  <c r="I54" i="2"/>
  <c r="J54" i="2"/>
  <c r="K54" i="2"/>
  <c r="L54" i="2"/>
  <c r="M54" i="2"/>
  <c r="N54" i="2"/>
  <c r="G199" i="2"/>
  <c r="G186" i="2" s="1"/>
  <c r="H199" i="2"/>
  <c r="H186" i="2" s="1"/>
  <c r="I199" i="2"/>
  <c r="I186" i="2" s="1"/>
  <c r="J199" i="2"/>
  <c r="J186" i="2" s="1"/>
  <c r="K199" i="2"/>
  <c r="K186" i="2" s="1"/>
  <c r="L199" i="2"/>
  <c r="L186" i="2" s="1"/>
  <c r="M199" i="2"/>
  <c r="M186" i="2" s="1"/>
  <c r="N199" i="2"/>
  <c r="N186" i="2" s="1"/>
  <c r="E199" i="2"/>
  <c r="E186" i="2" s="1"/>
  <c r="E218" i="2" s="1"/>
  <c r="F199" i="2"/>
  <c r="F186" i="2" s="1"/>
  <c r="F218" i="2" s="1"/>
  <c r="D199" i="2"/>
  <c r="D186" i="2" s="1"/>
  <c r="D218" i="2" s="1"/>
  <c r="C54" i="2" l="1"/>
  <c r="L203" i="2"/>
  <c r="M203" i="2"/>
  <c r="N203" i="2"/>
  <c r="L204" i="2"/>
  <c r="M204" i="2"/>
  <c r="N204" i="2"/>
  <c r="D204" i="2"/>
  <c r="D203" i="2"/>
  <c r="E93" i="2"/>
  <c r="E127" i="2" s="1"/>
  <c r="F93" i="2"/>
  <c r="F127" i="2" s="1"/>
  <c r="G93" i="2"/>
  <c r="G127" i="2" s="1"/>
  <c r="H93" i="2"/>
  <c r="H127" i="2" s="1"/>
  <c r="I93" i="2"/>
  <c r="I127" i="2" s="1"/>
  <c r="J93" i="2"/>
  <c r="J127" i="2" s="1"/>
  <c r="K93" i="2"/>
  <c r="K127" i="2" s="1"/>
  <c r="L93" i="2"/>
  <c r="L127" i="2" s="1"/>
  <c r="M93" i="2"/>
  <c r="M127" i="2" s="1"/>
  <c r="N93" i="2"/>
  <c r="N127" i="2" s="1"/>
  <c r="E94" i="2"/>
  <c r="F94" i="2"/>
  <c r="G94" i="2"/>
  <c r="H94" i="2"/>
  <c r="I94" i="2"/>
  <c r="J94" i="2"/>
  <c r="K94" i="2"/>
  <c r="L94" i="2"/>
  <c r="M94" i="2"/>
  <c r="N94" i="2"/>
  <c r="D94" i="2"/>
  <c r="D93" i="2"/>
  <c r="D127" i="2" s="1"/>
  <c r="C127" i="2" l="1"/>
  <c r="L202" i="2"/>
  <c r="D202" i="2"/>
  <c r="C203" i="2"/>
  <c r="C204" i="2"/>
  <c r="K202" i="2"/>
  <c r="G202" i="2"/>
  <c r="H202" i="2"/>
  <c r="N202" i="2"/>
  <c r="J202" i="2"/>
  <c r="F202" i="2"/>
  <c r="M202" i="2"/>
  <c r="I202" i="2"/>
  <c r="E202" i="2"/>
  <c r="C124" i="2"/>
  <c r="C123" i="2"/>
  <c r="N122" i="2"/>
  <c r="M122" i="2"/>
  <c r="L122" i="2"/>
  <c r="K122" i="2"/>
  <c r="J122" i="2"/>
  <c r="I122" i="2"/>
  <c r="H122" i="2"/>
  <c r="G122" i="2"/>
  <c r="F122" i="2"/>
  <c r="E122" i="2"/>
  <c r="D122" i="2"/>
  <c r="C121" i="2"/>
  <c r="C120" i="2"/>
  <c r="N119" i="2"/>
  <c r="M119" i="2"/>
  <c r="L119" i="2"/>
  <c r="K119" i="2"/>
  <c r="J119" i="2"/>
  <c r="I119" i="2"/>
  <c r="H119" i="2"/>
  <c r="G119" i="2"/>
  <c r="F119" i="2"/>
  <c r="E119" i="2"/>
  <c r="D119" i="2"/>
  <c r="C118" i="2"/>
  <c r="N116" i="2"/>
  <c r="M116" i="2"/>
  <c r="L116" i="2"/>
  <c r="K116" i="2"/>
  <c r="J116" i="2"/>
  <c r="I116" i="2"/>
  <c r="H116" i="2"/>
  <c r="G116" i="2"/>
  <c r="F116" i="2"/>
  <c r="E116" i="2"/>
  <c r="D116" i="2"/>
  <c r="C115" i="2"/>
  <c r="C114" i="2"/>
  <c r="N113" i="2"/>
  <c r="M113" i="2"/>
  <c r="L113" i="2"/>
  <c r="K113" i="2"/>
  <c r="J113" i="2"/>
  <c r="I113" i="2"/>
  <c r="H113" i="2"/>
  <c r="G113" i="2"/>
  <c r="F113" i="2"/>
  <c r="E113" i="2"/>
  <c r="D113" i="2"/>
  <c r="C202" i="2" l="1"/>
  <c r="C116" i="2"/>
  <c r="C119" i="2"/>
  <c r="C122" i="2"/>
  <c r="C113" i="2"/>
  <c r="N194" i="2" l="1"/>
  <c r="N189" i="2" s="1"/>
  <c r="M194" i="2"/>
  <c r="M189" i="2" s="1"/>
  <c r="L194" i="2"/>
  <c r="L189" i="2" s="1"/>
  <c r="K194" i="2"/>
  <c r="K189" i="2" s="1"/>
  <c r="J194" i="2"/>
  <c r="J189" i="2" s="1"/>
  <c r="I194" i="2"/>
  <c r="I189" i="2" s="1"/>
  <c r="H194" i="2"/>
  <c r="H189" i="2" s="1"/>
  <c r="G194" i="2"/>
  <c r="G189" i="2" s="1"/>
  <c r="F194" i="2"/>
  <c r="F189" i="2" s="1"/>
  <c r="F221" i="2" s="1"/>
  <c r="E194" i="2"/>
  <c r="E189" i="2" s="1"/>
  <c r="E221" i="2" s="1"/>
  <c r="D194" i="2"/>
  <c r="D189" i="2" s="1"/>
  <c r="D221" i="2" s="1"/>
  <c r="C181" i="2"/>
  <c r="C180" i="2" s="1"/>
  <c r="N180" i="2"/>
  <c r="M180" i="2"/>
  <c r="L180" i="2"/>
  <c r="K180" i="2"/>
  <c r="J180" i="2"/>
  <c r="I180" i="2"/>
  <c r="H180" i="2"/>
  <c r="G180" i="2"/>
  <c r="F180" i="2"/>
  <c r="E180" i="2"/>
  <c r="D180" i="2"/>
  <c r="C179" i="2"/>
  <c r="C178" i="2" s="1"/>
  <c r="N178" i="2"/>
  <c r="M178" i="2"/>
  <c r="L178" i="2"/>
  <c r="K178" i="2"/>
  <c r="J178" i="2"/>
  <c r="I178" i="2"/>
  <c r="H178" i="2"/>
  <c r="G178" i="2"/>
  <c r="F178" i="2"/>
  <c r="E178" i="2"/>
  <c r="D178" i="2"/>
  <c r="C177" i="2"/>
  <c r="C176" i="2"/>
  <c r="N175" i="2"/>
  <c r="M175" i="2"/>
  <c r="L175" i="2"/>
  <c r="K175" i="2"/>
  <c r="J175" i="2"/>
  <c r="I175" i="2"/>
  <c r="H175" i="2"/>
  <c r="G175" i="2"/>
  <c r="F175" i="2"/>
  <c r="E175" i="2"/>
  <c r="D175" i="2"/>
  <c r="N184" i="2"/>
  <c r="M184" i="2"/>
  <c r="L184" i="2"/>
  <c r="K184" i="2"/>
  <c r="J184" i="2"/>
  <c r="F174" i="2"/>
  <c r="F193" i="2" s="1"/>
  <c r="E174" i="2"/>
  <c r="E193" i="2" s="1"/>
  <c r="D174" i="2"/>
  <c r="D193" i="2" s="1"/>
  <c r="N173" i="2"/>
  <c r="N192" i="2" s="1"/>
  <c r="N190" i="2" s="1"/>
  <c r="M173" i="2"/>
  <c r="M192" i="2" s="1"/>
  <c r="M190" i="2" s="1"/>
  <c r="L173" i="2"/>
  <c r="L192" i="2" s="1"/>
  <c r="L190" i="2" s="1"/>
  <c r="K173" i="2"/>
  <c r="K192" i="2" s="1"/>
  <c r="K190" i="2" s="1"/>
  <c r="J173" i="2"/>
  <c r="I173" i="2"/>
  <c r="I192" i="2" s="1"/>
  <c r="I190" i="2" s="1"/>
  <c r="H173" i="2"/>
  <c r="H192" i="2" s="1"/>
  <c r="H190" i="2" s="1"/>
  <c r="G173" i="2"/>
  <c r="G192" i="2" s="1"/>
  <c r="F173" i="2"/>
  <c r="F183" i="2" s="1"/>
  <c r="E173" i="2"/>
  <c r="E192" i="2" s="1"/>
  <c r="D173" i="2"/>
  <c r="D192" i="2" s="1"/>
  <c r="C171" i="2"/>
  <c r="C170" i="2"/>
  <c r="N169" i="2"/>
  <c r="M169" i="2"/>
  <c r="L169" i="2"/>
  <c r="K169" i="2"/>
  <c r="J169" i="2"/>
  <c r="I169" i="2"/>
  <c r="H169" i="2"/>
  <c r="G169" i="2"/>
  <c r="F169" i="2"/>
  <c r="E169" i="2"/>
  <c r="D169" i="2"/>
  <c r="C168" i="2"/>
  <c r="C167" i="2"/>
  <c r="N166" i="2"/>
  <c r="M166" i="2"/>
  <c r="L166" i="2"/>
  <c r="K166" i="2"/>
  <c r="J166" i="2"/>
  <c r="I166" i="2"/>
  <c r="H166" i="2"/>
  <c r="G166" i="2"/>
  <c r="F166" i="2"/>
  <c r="E166" i="2"/>
  <c r="D166" i="2"/>
  <c r="C146" i="2"/>
  <c r="C145" i="2" s="1"/>
  <c r="N145" i="2"/>
  <c r="M145" i="2"/>
  <c r="L145" i="2"/>
  <c r="K145" i="2"/>
  <c r="J145" i="2"/>
  <c r="I145" i="2"/>
  <c r="H145" i="2"/>
  <c r="G145" i="2"/>
  <c r="F145" i="2"/>
  <c r="E145" i="2"/>
  <c r="D145" i="2"/>
  <c r="C144" i="2"/>
  <c r="N143" i="2"/>
  <c r="M143" i="2"/>
  <c r="L143" i="2"/>
  <c r="K143" i="2"/>
  <c r="J143" i="2"/>
  <c r="I143" i="2"/>
  <c r="H143" i="2"/>
  <c r="G143" i="2"/>
  <c r="F143" i="2"/>
  <c r="E143" i="2"/>
  <c r="D143" i="2"/>
  <c r="C143" i="2"/>
  <c r="N140" i="2"/>
  <c r="M140" i="2"/>
  <c r="M163" i="2" s="1"/>
  <c r="M160" i="2" s="1"/>
  <c r="K141" i="2"/>
  <c r="J141" i="2"/>
  <c r="I140" i="2"/>
  <c r="I163" i="2" s="1"/>
  <c r="I160" i="2" s="1"/>
  <c r="N141" i="2"/>
  <c r="M141" i="2"/>
  <c r="F141" i="2"/>
  <c r="E141" i="2"/>
  <c r="D141" i="2"/>
  <c r="F140" i="2"/>
  <c r="E140" i="2"/>
  <c r="E163" i="2" s="1"/>
  <c r="E160" i="2" s="1"/>
  <c r="D160" i="2"/>
  <c r="C138" i="2"/>
  <c r="C137" i="2" s="1"/>
  <c r="N137" i="2"/>
  <c r="M137" i="2"/>
  <c r="L137" i="2"/>
  <c r="K137" i="2"/>
  <c r="J137" i="2"/>
  <c r="I137" i="2"/>
  <c r="H137" i="2"/>
  <c r="F137" i="2"/>
  <c r="E137" i="2"/>
  <c r="D137" i="2"/>
  <c r="N136" i="2"/>
  <c r="N134" i="2" s="1"/>
  <c r="M136" i="2"/>
  <c r="M134" i="2" s="1"/>
  <c r="L136" i="2"/>
  <c r="L134" i="2" s="1"/>
  <c r="K136" i="2"/>
  <c r="K134" i="2" s="1"/>
  <c r="J136" i="2"/>
  <c r="J134" i="2" s="1"/>
  <c r="I136" i="2"/>
  <c r="I134" i="2" s="1"/>
  <c r="H136" i="2"/>
  <c r="H134" i="2" s="1"/>
  <c r="G136" i="2"/>
  <c r="G134" i="2" s="1"/>
  <c r="F136" i="2"/>
  <c r="F134" i="2" s="1"/>
  <c r="E136" i="2"/>
  <c r="E134" i="2" s="1"/>
  <c r="C133" i="2"/>
  <c r="C131" i="2" s="1"/>
  <c r="C112" i="2"/>
  <c r="C111" i="2"/>
  <c r="N110" i="2"/>
  <c r="M110" i="2"/>
  <c r="L110" i="2"/>
  <c r="K110" i="2"/>
  <c r="J110" i="2"/>
  <c r="I110" i="2"/>
  <c r="H110" i="2"/>
  <c r="G110" i="2"/>
  <c r="F110" i="2"/>
  <c r="E110" i="2"/>
  <c r="D110" i="2"/>
  <c r="C109" i="2"/>
  <c r="C108" i="2"/>
  <c r="C107" i="2"/>
  <c r="N106" i="2"/>
  <c r="M106" i="2"/>
  <c r="L106" i="2"/>
  <c r="K106" i="2"/>
  <c r="J106" i="2"/>
  <c r="I106" i="2"/>
  <c r="H106" i="2"/>
  <c r="G106" i="2"/>
  <c r="F106" i="2"/>
  <c r="E106" i="2"/>
  <c r="D106" i="2"/>
  <c r="C105" i="2"/>
  <c r="C104" i="2"/>
  <c r="C103" i="2"/>
  <c r="N102" i="2"/>
  <c r="M102" i="2"/>
  <c r="L102" i="2"/>
  <c r="K102" i="2"/>
  <c r="J102" i="2"/>
  <c r="I102" i="2"/>
  <c r="H102" i="2"/>
  <c r="G102" i="2"/>
  <c r="F102" i="2"/>
  <c r="E102" i="2"/>
  <c r="D102" i="2"/>
  <c r="C101" i="2"/>
  <c r="C100" i="2"/>
  <c r="N99" i="2"/>
  <c r="M99" i="2"/>
  <c r="L99" i="2"/>
  <c r="K99" i="2"/>
  <c r="J99" i="2"/>
  <c r="I99" i="2"/>
  <c r="H99" i="2"/>
  <c r="G99" i="2"/>
  <c r="F99" i="2"/>
  <c r="E99" i="2"/>
  <c r="D99" i="2"/>
  <c r="C98" i="2"/>
  <c r="C97" i="2"/>
  <c r="C96" i="2"/>
  <c r="N95" i="2"/>
  <c r="M95" i="2"/>
  <c r="L95" i="2"/>
  <c r="K95" i="2"/>
  <c r="J95" i="2"/>
  <c r="I95" i="2"/>
  <c r="H95" i="2"/>
  <c r="G95" i="2"/>
  <c r="F95" i="2"/>
  <c r="E95" i="2"/>
  <c r="D95" i="2"/>
  <c r="N92" i="2"/>
  <c r="N126" i="2" s="1"/>
  <c r="M92" i="2"/>
  <c r="M126" i="2" s="1"/>
  <c r="L92" i="2"/>
  <c r="L126" i="2" s="1"/>
  <c r="K92" i="2"/>
  <c r="K126" i="2" s="1"/>
  <c r="J92" i="2"/>
  <c r="J126" i="2" s="1"/>
  <c r="I92" i="2"/>
  <c r="I126" i="2" s="1"/>
  <c r="H92" i="2"/>
  <c r="H126" i="2" s="1"/>
  <c r="G92" i="2"/>
  <c r="G126" i="2" s="1"/>
  <c r="F92" i="2"/>
  <c r="F126" i="2" s="1"/>
  <c r="D92" i="2"/>
  <c r="D126" i="2" s="1"/>
  <c r="C90" i="2"/>
  <c r="C89" i="2" s="1"/>
  <c r="N89" i="2"/>
  <c r="M89" i="2"/>
  <c r="L89" i="2"/>
  <c r="K89" i="2"/>
  <c r="J89" i="2"/>
  <c r="I89" i="2"/>
  <c r="H89" i="2"/>
  <c r="G89" i="2"/>
  <c r="F89" i="2"/>
  <c r="E89" i="2"/>
  <c r="D89" i="2"/>
  <c r="F88" i="2"/>
  <c r="E88" i="2"/>
  <c r="D88" i="2"/>
  <c r="N87" i="2"/>
  <c r="M87" i="2"/>
  <c r="L87" i="2"/>
  <c r="K87" i="2"/>
  <c r="J87" i="2"/>
  <c r="I87" i="2"/>
  <c r="H87" i="2"/>
  <c r="G87" i="2"/>
  <c r="C85" i="2"/>
  <c r="C84" i="2" s="1"/>
  <c r="N84" i="2"/>
  <c r="M84" i="2"/>
  <c r="L84" i="2"/>
  <c r="K84" i="2"/>
  <c r="J84" i="2"/>
  <c r="I84" i="2"/>
  <c r="H84" i="2"/>
  <c r="G84" i="2"/>
  <c r="F84" i="2"/>
  <c r="E84" i="2"/>
  <c r="D84" i="2"/>
  <c r="C83" i="2"/>
  <c r="C82" i="2" s="1"/>
  <c r="N82" i="2"/>
  <c r="M82" i="2"/>
  <c r="L82" i="2"/>
  <c r="K82" i="2"/>
  <c r="J82" i="2"/>
  <c r="I82" i="2"/>
  <c r="H82" i="2"/>
  <c r="G82" i="2"/>
  <c r="F82" i="2"/>
  <c r="E82" i="2"/>
  <c r="D82" i="2"/>
  <c r="N79" i="2"/>
  <c r="N128" i="2" s="1"/>
  <c r="L80" i="2"/>
  <c r="K80" i="2"/>
  <c r="J79" i="2"/>
  <c r="J128" i="2" s="1"/>
  <c r="H80" i="2"/>
  <c r="G79" i="2"/>
  <c r="F80" i="2"/>
  <c r="E80" i="2"/>
  <c r="D80" i="2"/>
  <c r="F79" i="2"/>
  <c r="F78" i="2" s="1"/>
  <c r="E79" i="2"/>
  <c r="E78" i="2" s="1"/>
  <c r="D78" i="2"/>
  <c r="C77" i="2"/>
  <c r="C76" i="2"/>
  <c r="C73" i="2"/>
  <c r="C72" i="2"/>
  <c r="N71" i="2"/>
  <c r="M71" i="2"/>
  <c r="L71" i="2"/>
  <c r="K71" i="2"/>
  <c r="J71" i="2"/>
  <c r="I71" i="2"/>
  <c r="H71" i="2"/>
  <c r="G71" i="2"/>
  <c r="F71" i="2"/>
  <c r="E71" i="2"/>
  <c r="D71" i="2"/>
  <c r="C68" i="2"/>
  <c r="C67" i="2" s="1"/>
  <c r="N67" i="2"/>
  <c r="M67" i="2"/>
  <c r="L67" i="2"/>
  <c r="K67" i="2"/>
  <c r="J67" i="2"/>
  <c r="I67" i="2"/>
  <c r="H67" i="2"/>
  <c r="G67" i="2"/>
  <c r="F67" i="2"/>
  <c r="E67" i="2"/>
  <c r="D67" i="2"/>
  <c r="N65" i="2"/>
  <c r="N63" i="2" s="1"/>
  <c r="M65" i="2"/>
  <c r="M63" i="2" s="1"/>
  <c r="L65" i="2"/>
  <c r="L63" i="2" s="1"/>
  <c r="K65" i="2"/>
  <c r="K63" i="2" s="1"/>
  <c r="J65" i="2"/>
  <c r="J63" i="2" s="1"/>
  <c r="I65" i="2"/>
  <c r="I63" i="2" s="1"/>
  <c r="H65" i="2"/>
  <c r="H63" i="2" s="1"/>
  <c r="G65" i="2"/>
  <c r="G63" i="2" s="1"/>
  <c r="C61" i="2"/>
  <c r="N56" i="2"/>
  <c r="M56" i="2"/>
  <c r="L56" i="2"/>
  <c r="K56" i="2"/>
  <c r="J56" i="2"/>
  <c r="I56" i="2"/>
  <c r="H56" i="2"/>
  <c r="G56" i="2"/>
  <c r="F56" i="2"/>
  <c r="E56" i="2"/>
  <c r="D56" i="2"/>
  <c r="C51" i="2"/>
  <c r="C50" i="2" s="1"/>
  <c r="C47" i="2"/>
  <c r="C46" i="2" s="1"/>
  <c r="N46" i="2"/>
  <c r="M46" i="2"/>
  <c r="L46" i="2"/>
  <c r="K46" i="2"/>
  <c r="J46" i="2"/>
  <c r="I46" i="2"/>
  <c r="H46" i="2"/>
  <c r="G46" i="2"/>
  <c r="F46" i="2"/>
  <c r="E46" i="2"/>
  <c r="D46" i="2"/>
  <c r="C45" i="2"/>
  <c r="C44" i="2" s="1"/>
  <c r="N44" i="2"/>
  <c r="M44" i="2"/>
  <c r="L44" i="2"/>
  <c r="K44" i="2"/>
  <c r="J44" i="2"/>
  <c r="I44" i="2"/>
  <c r="H44" i="2"/>
  <c r="G44" i="2"/>
  <c r="F44" i="2"/>
  <c r="E44" i="2"/>
  <c r="D44" i="2"/>
  <c r="N41" i="2"/>
  <c r="M41" i="2"/>
  <c r="L42" i="2"/>
  <c r="K42" i="2"/>
  <c r="J42" i="2"/>
  <c r="I42" i="2"/>
  <c r="H42" i="2"/>
  <c r="N42" i="2"/>
  <c r="F42" i="2"/>
  <c r="E42" i="2"/>
  <c r="D42" i="2"/>
  <c r="F41" i="2"/>
  <c r="F55" i="2" s="1"/>
  <c r="E41" i="2"/>
  <c r="E55" i="2" s="1"/>
  <c r="D41" i="2"/>
  <c r="C38" i="2"/>
  <c r="C37" i="2"/>
  <c r="C36" i="2"/>
  <c r="N35" i="2"/>
  <c r="M35" i="2"/>
  <c r="L35" i="2"/>
  <c r="K35" i="2"/>
  <c r="J35" i="2"/>
  <c r="I35" i="2"/>
  <c r="H35" i="2"/>
  <c r="G35" i="2"/>
  <c r="F35" i="2"/>
  <c r="E35" i="2"/>
  <c r="D35" i="2"/>
  <c r="N32" i="2"/>
  <c r="N201" i="2" s="1"/>
  <c r="M32" i="2"/>
  <c r="M201" i="2" s="1"/>
  <c r="L32" i="2"/>
  <c r="L201" i="2" s="1"/>
  <c r="K32" i="2"/>
  <c r="K201" i="2" s="1"/>
  <c r="J31" i="2"/>
  <c r="I31" i="2"/>
  <c r="H31" i="2"/>
  <c r="G31" i="2"/>
  <c r="F31" i="2"/>
  <c r="E31" i="2"/>
  <c r="D31" i="2"/>
  <c r="C30" i="2"/>
  <c r="C29" i="2" s="1"/>
  <c r="N29" i="2"/>
  <c r="M29" i="2"/>
  <c r="L29" i="2"/>
  <c r="K29" i="2"/>
  <c r="J29" i="2"/>
  <c r="I29" i="2"/>
  <c r="H29" i="2"/>
  <c r="G29" i="2"/>
  <c r="F29" i="2"/>
  <c r="E29" i="2"/>
  <c r="D29" i="2"/>
  <c r="N23" i="2"/>
  <c r="M25" i="2"/>
  <c r="L25" i="2"/>
  <c r="K23" i="2"/>
  <c r="J25" i="2"/>
  <c r="I25" i="2"/>
  <c r="H25" i="2"/>
  <c r="G25" i="2"/>
  <c r="N25" i="2"/>
  <c r="F25" i="2"/>
  <c r="E25" i="2"/>
  <c r="D25" i="2"/>
  <c r="F23" i="2"/>
  <c r="E23" i="2"/>
  <c r="D23" i="2"/>
  <c r="C22" i="2"/>
  <c r="C21" i="2" s="1"/>
  <c r="N21" i="2"/>
  <c r="M21" i="2"/>
  <c r="L21" i="2"/>
  <c r="K21" i="2"/>
  <c r="J21" i="2"/>
  <c r="I21" i="2"/>
  <c r="H21" i="2"/>
  <c r="G21" i="2"/>
  <c r="F21" i="2"/>
  <c r="E21" i="2"/>
  <c r="D21" i="2"/>
  <c r="C20" i="2"/>
  <c r="C19" i="2" s="1"/>
  <c r="N19" i="2"/>
  <c r="M19" i="2"/>
  <c r="L19" i="2"/>
  <c r="K19" i="2"/>
  <c r="J19" i="2"/>
  <c r="I19" i="2"/>
  <c r="H19" i="2"/>
  <c r="G19" i="2"/>
  <c r="F19" i="2"/>
  <c r="E19" i="2"/>
  <c r="D19" i="2"/>
  <c r="C18" i="2"/>
  <c r="C17" i="2" s="1"/>
  <c r="N17" i="2"/>
  <c r="M17" i="2"/>
  <c r="L17" i="2"/>
  <c r="K17" i="2"/>
  <c r="J17" i="2"/>
  <c r="I17" i="2"/>
  <c r="H17" i="2"/>
  <c r="G17" i="2"/>
  <c r="F17" i="2"/>
  <c r="E17" i="2"/>
  <c r="D17" i="2"/>
  <c r="C16" i="2"/>
  <c r="C15" i="2"/>
  <c r="N14" i="2"/>
  <c r="M14" i="2"/>
  <c r="L14" i="2"/>
  <c r="K14" i="2"/>
  <c r="J14" i="2"/>
  <c r="I14" i="2"/>
  <c r="H14" i="2"/>
  <c r="G14" i="2"/>
  <c r="F14" i="2"/>
  <c r="E14" i="2"/>
  <c r="D14" i="2"/>
  <c r="C74" i="2" l="1"/>
  <c r="M39" i="2"/>
  <c r="M55" i="2"/>
  <c r="N39" i="2"/>
  <c r="N55" i="2"/>
  <c r="D39" i="2"/>
  <c r="D55" i="2"/>
  <c r="F39" i="2"/>
  <c r="E39" i="2"/>
  <c r="J183" i="2"/>
  <c r="J192" i="2"/>
  <c r="J190" i="2" s="1"/>
  <c r="F184" i="2"/>
  <c r="F139" i="2"/>
  <c r="F163" i="2"/>
  <c r="F160" i="2" s="1"/>
  <c r="E187" i="2"/>
  <c r="E219" i="2" s="1"/>
  <c r="E190" i="2"/>
  <c r="N139" i="2"/>
  <c r="N163" i="2"/>
  <c r="N160" i="2" s="1"/>
  <c r="E128" i="2"/>
  <c r="C189" i="2"/>
  <c r="C56" i="2"/>
  <c r="F128" i="2"/>
  <c r="L31" i="2"/>
  <c r="D128" i="2"/>
  <c r="N187" i="2"/>
  <c r="N220" i="2" s="1"/>
  <c r="M187" i="2"/>
  <c r="M220" i="2" s="1"/>
  <c r="L187" i="2"/>
  <c r="L220" i="2" s="1"/>
  <c r="K187" i="2"/>
  <c r="K220" i="2" s="1"/>
  <c r="I187" i="2"/>
  <c r="I220" i="2" s="1"/>
  <c r="H187" i="2"/>
  <c r="H220" i="2" s="1"/>
  <c r="G187" i="2"/>
  <c r="G220" i="2" s="1"/>
  <c r="N80" i="2"/>
  <c r="H41" i="2"/>
  <c r="K198" i="2"/>
  <c r="L41" i="2"/>
  <c r="L55" i="2" s="1"/>
  <c r="F87" i="2"/>
  <c r="C175" i="2"/>
  <c r="J78" i="2"/>
  <c r="N78" i="2"/>
  <c r="D87" i="2"/>
  <c r="G78" i="2"/>
  <c r="M42" i="2"/>
  <c r="L23" i="2"/>
  <c r="C99" i="2"/>
  <c r="J140" i="2"/>
  <c r="I141" i="2"/>
  <c r="C14" i="2"/>
  <c r="E91" i="2"/>
  <c r="H172" i="2"/>
  <c r="K25" i="2"/>
  <c r="I41" i="2"/>
  <c r="M91" i="2"/>
  <c r="E139" i="2"/>
  <c r="G172" i="2"/>
  <c r="J23" i="2"/>
  <c r="C71" i="2"/>
  <c r="C166" i="2"/>
  <c r="C35" i="2"/>
  <c r="C88" i="2"/>
  <c r="C87" i="2" s="1"/>
  <c r="I91" i="2"/>
  <c r="C95" i="2"/>
  <c r="J41" i="2"/>
  <c r="C43" i="2"/>
  <c r="C42" i="2" s="1"/>
  <c r="E87" i="2"/>
  <c r="C142" i="2"/>
  <c r="C141" i="2" s="1"/>
  <c r="I172" i="2"/>
  <c r="E172" i="2"/>
  <c r="L172" i="2"/>
  <c r="G23" i="2"/>
  <c r="H79" i="2"/>
  <c r="H128" i="2" s="1"/>
  <c r="J80" i="2"/>
  <c r="C110" i="2"/>
  <c r="M172" i="2"/>
  <c r="F53" i="2"/>
  <c r="M139" i="2"/>
  <c r="H23" i="2"/>
  <c r="J91" i="2"/>
  <c r="C65" i="2"/>
  <c r="L79" i="2"/>
  <c r="L128" i="2" s="1"/>
  <c r="G80" i="2"/>
  <c r="C81" i="2"/>
  <c r="C80" i="2" s="1"/>
  <c r="G91" i="2"/>
  <c r="K91" i="2"/>
  <c r="C106" i="2"/>
  <c r="I139" i="2"/>
  <c r="D172" i="2"/>
  <c r="C194" i="2"/>
  <c r="M31" i="2"/>
  <c r="N197" i="2"/>
  <c r="N31" i="2"/>
  <c r="K79" i="2"/>
  <c r="K128" i="2" s="1"/>
  <c r="F91" i="2"/>
  <c r="N91" i="2"/>
  <c r="C169" i="2"/>
  <c r="D91" i="2"/>
  <c r="H91" i="2"/>
  <c r="L91" i="2"/>
  <c r="C102" i="2"/>
  <c r="D139" i="2"/>
  <c r="K172" i="2"/>
  <c r="F182" i="2"/>
  <c r="J182" i="2"/>
  <c r="M80" i="2"/>
  <c r="M79" i="2"/>
  <c r="M128" i="2" s="1"/>
  <c r="E198" i="2"/>
  <c r="E53" i="2"/>
  <c r="H141" i="2"/>
  <c r="H140" i="2"/>
  <c r="H163" i="2" s="1"/>
  <c r="H160" i="2" s="1"/>
  <c r="L141" i="2"/>
  <c r="L140" i="2"/>
  <c r="L163" i="2" s="1"/>
  <c r="L160" i="2" s="1"/>
  <c r="F172" i="2"/>
  <c r="J172" i="2"/>
  <c r="N172" i="2"/>
  <c r="N183" i="2"/>
  <c r="N182" i="2" s="1"/>
  <c r="F192" i="2"/>
  <c r="F197" i="2"/>
  <c r="F195" i="2" s="1"/>
  <c r="C26" i="2"/>
  <c r="C25" i="2" s="1"/>
  <c r="D197" i="2"/>
  <c r="D195" i="2" s="1"/>
  <c r="I80" i="2"/>
  <c r="I79" i="2"/>
  <c r="I128" i="2" s="1"/>
  <c r="E197" i="2"/>
  <c r="E195" i="2" s="1"/>
  <c r="K31" i="2"/>
  <c r="C32" i="2"/>
  <c r="C31" i="2" s="1"/>
  <c r="G41" i="2"/>
  <c r="G55" i="2" s="1"/>
  <c r="K41" i="2"/>
  <c r="K55" i="2" s="1"/>
  <c r="G42" i="2"/>
  <c r="C136" i="2"/>
  <c r="C134" i="2" s="1"/>
  <c r="C92" i="2"/>
  <c r="C93" i="2"/>
  <c r="C94" i="2"/>
  <c r="C173" i="2"/>
  <c r="C174" i="2"/>
  <c r="G183" i="2"/>
  <c r="K183" i="2"/>
  <c r="K182" i="2" s="1"/>
  <c r="G184" i="2"/>
  <c r="G140" i="2"/>
  <c r="G163" i="2" s="1"/>
  <c r="K140" i="2"/>
  <c r="K163" i="2" s="1"/>
  <c r="K160" i="2" s="1"/>
  <c r="G141" i="2"/>
  <c r="D183" i="2"/>
  <c r="H183" i="2"/>
  <c r="L183" i="2"/>
  <c r="L182" i="2" s="1"/>
  <c r="D184" i="2"/>
  <c r="H184" i="2"/>
  <c r="E183" i="2"/>
  <c r="I183" i="2"/>
  <c r="M183" i="2"/>
  <c r="M182" i="2" s="1"/>
  <c r="E184" i="2"/>
  <c r="I184" i="2"/>
  <c r="H39" i="2" l="1"/>
  <c r="H55" i="2"/>
  <c r="N217" i="2"/>
  <c r="I39" i="2"/>
  <c r="I55" i="2"/>
  <c r="J39" i="2"/>
  <c r="J55" i="2"/>
  <c r="J53" i="2" s="1"/>
  <c r="M217" i="2"/>
  <c r="L217" i="2"/>
  <c r="K217" i="2"/>
  <c r="I217" i="2"/>
  <c r="H217" i="2"/>
  <c r="G217" i="2"/>
  <c r="G39" i="2"/>
  <c r="D190" i="2"/>
  <c r="D187" i="2"/>
  <c r="D219" i="2" s="1"/>
  <c r="K39" i="2"/>
  <c r="N188" i="2"/>
  <c r="N195" i="2"/>
  <c r="L53" i="2"/>
  <c r="L39" i="2"/>
  <c r="J139" i="2"/>
  <c r="J163" i="2"/>
  <c r="J160" i="2" s="1"/>
  <c r="G160" i="2"/>
  <c r="F187" i="2"/>
  <c r="F219" i="2" s="1"/>
  <c r="F190" i="2"/>
  <c r="D188" i="2"/>
  <c r="D220" i="2" s="1"/>
  <c r="C201" i="2"/>
  <c r="C126" i="2"/>
  <c r="F188" i="2"/>
  <c r="F220" i="2" s="1"/>
  <c r="C183" i="2"/>
  <c r="E188" i="2"/>
  <c r="E220" i="2" s="1"/>
  <c r="C184" i="2"/>
  <c r="J187" i="2"/>
  <c r="J220" i="2" s="1"/>
  <c r="H53" i="2"/>
  <c r="I53" i="2"/>
  <c r="M78" i="2"/>
  <c r="M125" i="2"/>
  <c r="I78" i="2"/>
  <c r="I125" i="2"/>
  <c r="L78" i="2"/>
  <c r="L125" i="2"/>
  <c r="H78" i="2"/>
  <c r="H125" i="2"/>
  <c r="L197" i="2"/>
  <c r="L195" i="2" s="1"/>
  <c r="F125" i="2"/>
  <c r="M198" i="2"/>
  <c r="N125" i="2"/>
  <c r="N198" i="2"/>
  <c r="J125" i="2"/>
  <c r="K125" i="2"/>
  <c r="I198" i="2"/>
  <c r="N53" i="2"/>
  <c r="J197" i="2"/>
  <c r="J195" i="2" s="1"/>
  <c r="D198" i="2"/>
  <c r="J198" i="2"/>
  <c r="M53" i="2"/>
  <c r="C41" i="2"/>
  <c r="C39" i="2" s="1"/>
  <c r="G198" i="2"/>
  <c r="E125" i="2"/>
  <c r="H197" i="2"/>
  <c r="H195" i="2" s="1"/>
  <c r="L198" i="2"/>
  <c r="C24" i="2"/>
  <c r="C23" i="2" s="1"/>
  <c r="H198" i="2"/>
  <c r="K78" i="2"/>
  <c r="I182" i="2"/>
  <c r="D53" i="2"/>
  <c r="E182" i="2"/>
  <c r="H182" i="2"/>
  <c r="G139" i="2"/>
  <c r="C172" i="2"/>
  <c r="C91" i="2"/>
  <c r="C200" i="2"/>
  <c r="L139" i="2"/>
  <c r="K139" i="2"/>
  <c r="C140" i="2"/>
  <c r="C139" i="2" s="1"/>
  <c r="K53" i="2"/>
  <c r="C79" i="2"/>
  <c r="C78" i="2" s="1"/>
  <c r="I197" i="2"/>
  <c r="I195" i="2" s="1"/>
  <c r="I23" i="2"/>
  <c r="D182" i="2"/>
  <c r="D125" i="2"/>
  <c r="C186" i="2"/>
  <c r="F198" i="2"/>
  <c r="G182" i="2"/>
  <c r="G53" i="2"/>
  <c r="M197" i="2"/>
  <c r="M23" i="2"/>
  <c r="C192" i="2"/>
  <c r="G197" i="2"/>
  <c r="H139" i="2"/>
  <c r="C199" i="2"/>
  <c r="K197" i="2"/>
  <c r="C163" i="2" l="1"/>
  <c r="C160" i="2" s="1"/>
  <c r="N218" i="2"/>
  <c r="N221" i="2"/>
  <c r="N216" i="2"/>
  <c r="J217" i="2"/>
  <c r="D185" i="2"/>
  <c r="D217" i="2" s="1"/>
  <c r="K188" i="2"/>
  <c r="K221" i="2" s="1"/>
  <c r="K195" i="2"/>
  <c r="M188" i="2"/>
  <c r="M221" i="2" s="1"/>
  <c r="M195" i="2"/>
  <c r="G188" i="2"/>
  <c r="G221" i="2" s="1"/>
  <c r="G195" i="2"/>
  <c r="E185" i="2"/>
  <c r="E217" i="2" s="1"/>
  <c r="C187" i="2"/>
  <c r="C53" i="2"/>
  <c r="C55" i="2"/>
  <c r="N185" i="2"/>
  <c r="I188" i="2"/>
  <c r="I221" i="2" s="1"/>
  <c r="L188" i="2"/>
  <c r="L221" i="2" s="1"/>
  <c r="H188" i="2"/>
  <c r="H221" i="2" s="1"/>
  <c r="J188" i="2"/>
  <c r="C182" i="2"/>
  <c r="C198" i="2"/>
  <c r="F185" i="2"/>
  <c r="F217" i="2" s="1"/>
  <c r="C197" i="2"/>
  <c r="C195" i="2" s="1"/>
  <c r="J218" i="2" l="1"/>
  <c r="J221" i="2"/>
  <c r="M218" i="2"/>
  <c r="M216" i="2"/>
  <c r="M185" i="2"/>
  <c r="J216" i="2"/>
  <c r="L218" i="2"/>
  <c r="L216" i="2"/>
  <c r="K185" i="2"/>
  <c r="K218" i="2"/>
  <c r="K216" i="2"/>
  <c r="I218" i="2"/>
  <c r="I216" i="2"/>
  <c r="H218" i="2"/>
  <c r="H216" i="2"/>
  <c r="G218" i="2"/>
  <c r="G216" i="2"/>
  <c r="J185" i="2"/>
  <c r="H185" i="2"/>
  <c r="I185" i="2"/>
  <c r="L185" i="2"/>
  <c r="G128" i="2"/>
  <c r="C128" i="2" s="1"/>
  <c r="C125" i="2" s="1"/>
  <c r="C62" i="2"/>
  <c r="C59" i="2" s="1"/>
  <c r="G190" i="2"/>
  <c r="C66" i="2" l="1"/>
  <c r="C63" i="2" s="1"/>
  <c r="G125" i="2"/>
  <c r="C193" i="2"/>
  <c r="C190" i="2" s="1"/>
  <c r="C188" i="2" l="1"/>
  <c r="C185" i="2" s="1"/>
  <c r="G185" i="2"/>
</calcChain>
</file>

<file path=xl/sharedStrings.xml><?xml version="1.0" encoding="utf-8"?>
<sst xmlns="http://schemas.openxmlformats.org/spreadsheetml/2006/main" count="370" uniqueCount="118">
  <si>
    <t>Источники финансирования</t>
  </si>
  <si>
    <t>Объем 
финансирования 
(всего, руб.)</t>
  </si>
  <si>
    <t>В том числе по годам</t>
  </si>
  <si>
    <t>2020 год</t>
  </si>
  <si>
    <t>2021 год</t>
  </si>
  <si>
    <t>2022 год</t>
  </si>
  <si>
    <t>всего,
в том числе</t>
  </si>
  <si>
    <t>департамент образования
(далее – ДО)</t>
  </si>
  <si>
    <t>за счет межбюджетных трансфертов из федерального бюджета</t>
  </si>
  <si>
    <t>за счет средств местного бюджета</t>
  </si>
  <si>
    <t>за счет других источников (родительской платы за присмотр и уход за детьми)</t>
  </si>
  <si>
    <t xml:space="preserve">Основное мероприятие 2.
«Организация и финансовое обеспечение бесплатной перевозки до муниципальных образовательных учреждений и обратно обучающихся, проживающих на территории города, в течение учебного года, за исключением каникулярных дней, актированных дней и дней карантина в муниципальном образовательном учреждении, в дни функционирования лагеря с дневным пребыванием детей на базе муниципального образовательного учреждения» (3, 6)
</t>
  </si>
  <si>
    <t>ДО</t>
  </si>
  <si>
    <t>Основное мероприятие 4.
«Организация и финансовое обеспечение технического обслуживания компьютерной и копировально-множительной техники в муниципальных образовательных учреждениях, подведомственных департаменту образования» (3, 4)</t>
  </si>
  <si>
    <t xml:space="preserve">департамент городского хозяйства 
(далее – ДГХ)
</t>
  </si>
  <si>
    <t>ДГХ</t>
  </si>
  <si>
    <t>Основное мероприятие 6.
«Финансовое обеспечение организации начисления и выплаты компенсации части родительской платы за присмотр и уход за детьми в образовательных учреждениях, реализующих основную образовательную программу дошкольного образования, в рамках исполнения переданного отдельного государственного полномочия» (1, 2)</t>
  </si>
  <si>
    <t>х</t>
  </si>
  <si>
    <t>ДАиГ</t>
  </si>
  <si>
    <t>Всего по подпрограмме 3.
«Дополнительное образование в учреждениях дополнительного образования»</t>
  </si>
  <si>
    <t>Всего по подпрограмме  4. 
«Организация и обеспечение отдыха и оздоровления детей»</t>
  </si>
  <si>
    <t>Общий объем финансирования программы - всего, в том числе</t>
  </si>
  <si>
    <t>Объем финансирования администратора – департамента образования</t>
  </si>
  <si>
    <t>Объем финансирования соадминистратора – департамента городского хозяйства</t>
  </si>
  <si>
    <t>Объем финансирования соадминистратора – департамента архитектуры и градостроительства</t>
  </si>
  <si>
    <t xml:space="preserve">Мероприятие 5.1.
«Организация выполнения работ по эксплуатации зданий, сооружений, инженерных систем муниципальных казённых учреждений, «Информационно-методического центра», подведомственных департаменту образования»  </t>
  </si>
  <si>
    <t>Программные мероприятия, объем финансирования 
муниципальной программы «Развитие образования города Сургута на период до 2030 года»</t>
  </si>
  <si>
    <t xml:space="preserve">Наименование </t>
  </si>
  <si>
    <t>всего, в том числе</t>
  </si>
  <si>
    <t>за счет межбюд-жетных транс-фертов из окруж-ного бюджета</t>
  </si>
  <si>
    <t>Ответст-венный (админист-ратор или соадми-нистратор)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</si>
  <si>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</si>
  <si>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</si>
  <si>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</si>
  <si>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</si>
  <si>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</si>
  <si>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</si>
  <si>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</si>
  <si>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</si>
  <si>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ДО,
департамент архитектуры 
и градо-строительства
(далее - 
ДАиГ)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</si>
  <si>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</si>
  <si>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Подпрограмма 1. «Дошкольное образование в образовательных учреждениях, реализующих программу дошкольного образования»</t>
  </si>
  <si>
    <t>Задача 1.1. Обеспечение предоставления дошкольного образования, присмотра и ухода за детьми в образовательных учреждениях, реализующих основную образовательную программу дошкольного образования.</t>
  </si>
  <si>
    <t>Всего по подпрограмме 1. «Дошкольное образование в образовательных учреждениях, реализующих программу дошкольного образования»</t>
  </si>
  <si>
    <t>Подпрограмма 2. «Общее и дополнительное образование в общеобразовательных учреждениях»</t>
  </si>
  <si>
    <t>Задача 2.1. Обеспечение предоставления общего и дополнительного образования в общеобразовательных учреждениях.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</si>
  <si>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</si>
  <si>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Всего по подпрограмме 2.
Общее и дополнительное образование в общеобразовательных учреждениях»</t>
  </si>
  <si>
    <t xml:space="preserve">Мероприятие 2.1.1.1.
«Предоставление субсидии на выполнение муниципального задания на оказание муниципальных услуг (выполнение работ) и на иные цели подведомственным образовательным учреждениям» </t>
  </si>
  <si>
    <t xml:space="preserve">Мероприятие 1.1.2.1.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</si>
  <si>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1.1.2.2.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</si>
  <si>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1.1.2.3.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</si>
  <si>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2.1.1.2.
«Реализация мероприятий по формированию законопослушного поведения участников дорожного движения» </t>
  </si>
  <si>
    <t>Основное мероприятие 2.1.3.
«Финансовое обеспечение расходных обязательств по организации питания обучающихся в общеобразовательных организациях» (3)</t>
  </si>
  <si>
    <t xml:space="preserve">Мероприятие 2.1.4.1.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общеобразовательную программу» </t>
  </si>
  <si>
    <t xml:space="preserve">Мероприятие 2.1.4.2.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 </t>
  </si>
  <si>
    <t>Мероприятие 2.1.4.3.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</t>
  </si>
  <si>
    <t>Подпрограмма 3. «Дополнительное образование в учреждениях дополнительного образования»</t>
  </si>
  <si>
    <t>Задача 3.1. Обеспечение предоставления дополнительного образования в образовательных учреждениях дополнительного образования.</t>
  </si>
  <si>
    <t xml:space="preserve">Мероприятие 3.1.1.1.
«Предоставление субсидии на выполнение муниципального задания на оказание муниципальных услуг (выполнение работ) и на иные цели подведомственным учреждениям дополнительного образования» </t>
  </si>
  <si>
    <t xml:space="preserve">Мероприятие 3.1.1.2.
«Реализация мероприятий по формированию законопослушного поведения участников дорожного движения» </t>
  </si>
  <si>
    <t>Мероприятие 3.1.2.1.
«Организация выполнения работ по эксплуатации зданий, сооружений, инженерных систем муниципальных образовательных учреждений дополнительного образования, подведомственных департаменту образования»</t>
  </si>
  <si>
    <t xml:space="preserve">Мероприятие 3.1.2.2.
«Организация выполнения работ по капитальному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</si>
  <si>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Основное мероприятие 3.1.3.
«Введение системы персонифицированного финансирования дополнительного образования детей» (5)</t>
  </si>
  <si>
    <t>Подпрограмма 4. «Организация и обеспечение отдыха и оздоровления детей»</t>
  </si>
  <si>
    <t>Задача 4.1. Обеспечение оздоровления и занятости детей в каникулярный период.</t>
  </si>
  <si>
    <t>Основное мероприятие 4.1.1.
«Организация отдыха и оздоровления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на базе образовательных организаций, подведомственных департаменту образования» (6)</t>
  </si>
  <si>
    <t>Мероприятие 4.1.3.2.
«Приобретение и предоставление детям-сиротам и детям, оставшимся без попечения родителей, лицам из числа детей-сирот и детей, оставшихся без попечения родителей, путевок в организации отдыха детей и их оздоровления или санаторно-курортные организации (при наличии медицинских показаний) в рамках исполнения переданного отдельного государственного полномочия»</t>
  </si>
  <si>
    <t>Мероприятие 4.1.3.3.
«Приобретение и предоставление санаторно-курортных путевок по типу «Мать и дитя» для лечения детей-инвалидов, проживающих на территории города Сургута и состоящих на учете в медицинских организациях Ханты-Мансийского автономного округа-Югры, осуществляющих деятельность на территории города Сургута»</t>
  </si>
  <si>
    <t xml:space="preserve">всего, 
в том числе   </t>
  </si>
  <si>
    <t>Объем финансирования соадминистратора – управления бюджетного учета и отчетности</t>
  </si>
  <si>
    <t xml:space="preserve">Мероприятие 2.2.1.1.
«Здание «Плавательный бассейн» МБОУ гимназии «Лаборатория Салахова», расположенное по адресу: г. Сургут, бул. Свободы, 6» </t>
  </si>
  <si>
    <t>Мероприятие 2.2.2.1.
«Средняя общеобразовательная школа в микрорайоне 32 г. Сургута» (900 мест)</t>
  </si>
  <si>
    <t xml:space="preserve">Мероприятие 2.2.2.2.
«Средняя общеобразовательная школа в микрорайоне 33 г. Сургута» (900 мест) </t>
  </si>
  <si>
    <t>Мероприятие 2.2.2.5.
«Средняя общеобразовательная школа № 9 в микрорайоне 39 г. Сургута. Блок 2» (550 мест) 
(концессионное соглашение)</t>
  </si>
  <si>
    <t>Мероприятие 2.2.2.6.
«Средняя общеобразовательная школа в микрорайоне 30А г. Сургута (Общеобразовательная организация с универсальной безбарьерной средой)» (1500 мест)  (концессионное соглашение)</t>
  </si>
  <si>
    <t>Мероприятие 2.2.2.7.
«Средняя общеобразовательная школа в микрорайоне 38 г. Сургута (Общеобразовательная организация с универсальной безбарьерной средой)» (1500 мест)  (концессионное соглашение)</t>
  </si>
  <si>
    <t>Мероприятие 2.2.2.8.
«Средняя общеобразовательная школа в микрорайоне 34 г. Сургута (Общеобразовательная организация с универсальной безбарьерной средой)» (1500 мест)  (концессионное соглашение)</t>
  </si>
  <si>
    <t>Мероприятие 2.2.2.9.
«Средняя общеобразовательная школа в микрорайоне 5А г. Сургута (Общеобразовательная организация с универсальной безбарьерной средой)» (1500 мест)  (концессионное соглашение)</t>
  </si>
  <si>
    <t>за счет меж-бюджетных трансфертов 
из окружного бюджета</t>
  </si>
  <si>
    <t>за счет меж-бюджетных трансфертов 
из федерального бюджета</t>
  </si>
  <si>
    <t xml:space="preserve"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удовлетворять образовательные запросы личности и социума.
</t>
  </si>
  <si>
    <t>за счет меж-бюджетных трансфертов
из федерального бюджета</t>
  </si>
  <si>
    <t xml:space="preserve">ДАиГ, 
ДО
</t>
  </si>
  <si>
    <t>Основное мероприятие 4.1.3.
«Организация отдыха и оздоровления детей, имеющих место жительства на территории города Сургута» (6)</t>
  </si>
  <si>
    <t>Основное мероприятие 3.1.4.
«Региональный проект «Цифровая образовательная среда» (5)</t>
  </si>
  <si>
    <t xml:space="preserve">Задача 3.2. Развитие инфраструктуры учреждений дополнительного образования </t>
  </si>
  <si>
    <t xml:space="preserve">Мероприятие 3.2.1.1.
«Станция юных натуралистов в лесопарковой зоне междуречья р. Сайма» </t>
  </si>
  <si>
    <t xml:space="preserve">Мероприятие 3.2.2.1.
«Приобретение помещения для размещения Кванториума» </t>
  </si>
  <si>
    <t>Мероприятие 2.2.2.3.
«Средняя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средой)» (900 мест)</t>
  </si>
  <si>
    <t xml:space="preserve">к постановлению </t>
  </si>
  <si>
    <t>Администрации города</t>
  </si>
  <si>
    <t>от __________  № _________</t>
  </si>
  <si>
    <t xml:space="preserve">Основное мероприятие 1.1.2.4.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</si>
  <si>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2.1.1.3. 
«Реализация общественной инициативы «Социально-ориентированный проект для подростков и молодежи района Геологов «Фристайл-парк», расположенный на территории МБОУ гимназия имени Ф.К. Салманова» в рамках проекта инициативного бюджетирования «Бюджет Сургута Online» </t>
  </si>
  <si>
    <t>«Мероприятие 2.2.2.4.
Средняя общеобразовательная школа в микрорайоне 20А г. Сургута (Общеобразовательная организация с универсальной безбарьерной средой)» (1500 мест)</t>
  </si>
  <si>
    <t xml:space="preserve">Мероприятие 4.1.3.1.
«Приобретение и предоставление детям в возрасте от 6 до 17 лет (включительно) путевок в организации отдыха детей и их оздоровления, в том числе в этнической среде, в рамках исполнения переданного отдельного государственного полномочия» </t>
  </si>
  <si>
    <t>за счет межбюд-жетных транс-фертов из окружного бюджета</t>
  </si>
  <si>
    <t xml:space="preserve">Мероприятие 5.2.
«Организация выполнения работ по капитальному ремонту зданий, сооружений, помещений, инженерных систем муниципальных казённых учреждений, «Информационно-методического центра», подведомственных департаменту образования»  </t>
  </si>
  <si>
    <t>Основное мероприятие 1.
«Обеспечение управления муниципальной системой образования, осуществление организационно-методического, финансово-экономического сопровождения деятельности в сфере образования» (1, 3, 4)</t>
  </si>
  <si>
    <t>Основное мероприятие 3.
«Финансовое обеспечение и выплата именной стипендии имени А.С. Знаменского учащимся муниципальных образовательных учреждений города, подведомственных департаменту образования, за отличные успехи в учебе, за достижение высоких показателей в интеллектуальной, научной, творческой, спортивной, социально-значимой деятельности» (3)</t>
  </si>
  <si>
    <t>Основное мероприятие 5.
«Организация выполнения отдельных функций по содержанию зданий муниципальных казённых учреждений, «Информационно-методического центра», подведомственных департаменту образования» (1, 4, 5, 6, 9)</t>
  </si>
  <si>
    <t>Основное мероприятие 7.
«Финансовое обеспечение мероприятий, направленных на создание универсальной безбарьерной среды в учреждениях, подведомственных департаменту образования» (11)</t>
  </si>
  <si>
    <t>Основное мероприятие 1.1.1.
«Организация предоставления дошкольного образования, присмотра и ухода за детьми в муниципальных образовательных учреждениях, реализующих основную образовательную программу дошкольного образования» (1, 2, 5, 12)</t>
  </si>
  <si>
    <t>Основное мероприятие 1.1.2.
«Организация выполнения отдельных функций по содержанию зданий муниципальных образовательных учреждений, реализующих основную образовательную программу дошкольного образования» (1, 2, 9)</t>
  </si>
  <si>
    <t>Основное мероприятие 1.1.3.
«Оказание финансовой поддержки негосударственным организациям, предоставляющим услуги в социальной сфере» (1, 7, 8)</t>
  </si>
  <si>
    <t>Основное мероприятие 2.1.1.
«Организация предоставления общего и дополнительного образования в муниципальных общеобразовательных учреждениях» (3, 5, 12)</t>
  </si>
  <si>
    <t>Основное мероприятие 2.1.2.
«Оказание финансовой поддержки негосударственным организациям, предоставляющим услуги в социальной сфере» 
(3, 4, 7, 8)</t>
  </si>
  <si>
    <t>Основное мероприятие 2.1.4.
«Организация выполнения отдельных функций по содержанию зданий муниципальных образовательных учреждений, реализующих основную общеобразовательную программу» (3, 4, 9)</t>
  </si>
  <si>
    <t>Основное мероприятие 2.2.1.
«Выполнение работ по капитальному ремонту объектов общего образования» (9)</t>
  </si>
  <si>
    <t>Основное мероприятие 2.2.2.
«Региональный проект «Современная школа» (10)</t>
  </si>
  <si>
    <t>Основное мероприятие 3.1.1.
«Организация предоставления дополнительного образования в муниципальных образовательных учреждениях дополнительного образования, подведомственных департаменту образования» (5, 12)</t>
  </si>
  <si>
    <t>Основное мероприятие 3.1.2.
«Организация выполнения отдельных функций по содержанию зданий муниципальных образовательных учреждений дополнительного образования, подведомственных департаменту образования» (5, 9)</t>
  </si>
  <si>
    <t>Основное мероприятие 3.2.1.
«Проектирование, строительство (реконструкция) муниципальных объектов дополнительного образования» (10)</t>
  </si>
  <si>
    <t>Основное мероприятие 3.2.2.
«Приобретение объектов дополнительного образования» (10)</t>
  </si>
  <si>
    <t>Основное мероприятие 4.1.2.
«Оказание финансовой поддержки негосударственным организациям, предоставляющим услуги в социальной сфере» (6, 7, 8)</t>
  </si>
  <si>
    <t>Приложение 4</t>
  </si>
  <si>
    <t>ДАиГ,
 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</si>
</sst>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u/>
      <sz val="24"/>
      <color theme="1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0" applyFont="1" applyFill="1" applyAlignment="1">
      <alignment horizontal="right" vertical="top"/>
    </xf>
    <xf numFmtId="0" fontId="5" fillId="0" borderId="0" xfId="1" applyFont="1" applyFill="1" applyBorder="1" applyAlignment="1">
      <alignment vertical="top"/>
    </xf>
    <xf numFmtId="4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164" fontId="2" fillId="0" borderId="0" xfId="0" applyNumberFormat="1" applyFont="1" applyFill="1" applyAlignment="1">
      <alignment horizontal="center" vertical="top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4" fontId="8" fillId="0" borderId="0" xfId="0" applyNumberFormat="1" applyFont="1" applyFill="1" applyAlignment="1">
      <alignment horizontal="center" vertical="top" wrapText="1"/>
    </xf>
    <xf numFmtId="4" fontId="9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3" fillId="0" borderId="0" xfId="0" applyNumberFormat="1" applyFont="1" applyFill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24"/>
  <sheetViews>
    <sheetView showZeros="0" tabSelected="1" view="pageBreakPreview" topLeftCell="A82" zoomScale="44" zoomScaleNormal="34" zoomScaleSheetLayoutView="44" zoomScalePageLayoutView="41" workbookViewId="0">
      <selection activeCell="O91" sqref="O91:O94"/>
    </sheetView>
  </sheetViews>
  <sheetFormatPr defaultColWidth="9.28515625" defaultRowHeight="30.75" x14ac:dyDescent="0.25"/>
  <cols>
    <col min="1" max="1" width="75.5703125" style="3" customWidth="1"/>
    <col min="2" max="2" width="35.140625" style="3" customWidth="1"/>
    <col min="3" max="3" width="41" style="4" customWidth="1"/>
    <col min="4" max="4" width="39" style="4" bestFit="1" customWidth="1"/>
    <col min="5" max="6" width="37.42578125" style="4" bestFit="1" customWidth="1"/>
    <col min="7" max="14" width="37.42578125" style="4" customWidth="1"/>
    <col min="15" max="15" width="29.28515625" style="3" customWidth="1"/>
    <col min="16" max="16" width="42.5703125" style="3" customWidth="1"/>
    <col min="17" max="17" width="30.28515625" style="3" customWidth="1"/>
    <col min="18" max="16384" width="9.28515625" style="3"/>
  </cols>
  <sheetData>
    <row r="1" spans="1:18" ht="31.5" x14ac:dyDescent="0.25">
      <c r="F1" s="9"/>
      <c r="G1" s="9"/>
      <c r="H1" s="9"/>
      <c r="I1" s="9"/>
      <c r="J1" s="9"/>
      <c r="K1" s="9"/>
      <c r="L1" s="9"/>
      <c r="M1" s="9"/>
      <c r="N1" s="7" t="s">
        <v>116</v>
      </c>
      <c r="O1" s="10"/>
    </row>
    <row r="2" spans="1:18" ht="31.5" x14ac:dyDescent="0.25">
      <c r="F2" s="9"/>
      <c r="G2" s="9"/>
      <c r="H2" s="9"/>
      <c r="I2" s="9"/>
      <c r="J2" s="9"/>
      <c r="K2" s="9"/>
      <c r="L2" s="9"/>
      <c r="M2" s="9"/>
      <c r="N2" s="7" t="s">
        <v>90</v>
      </c>
      <c r="O2" s="10"/>
      <c r="R2" s="2"/>
    </row>
    <row r="3" spans="1:18" ht="33.6" customHeight="1" x14ac:dyDescent="0.25">
      <c r="F3" s="9"/>
      <c r="G3" s="9"/>
      <c r="H3" s="9"/>
      <c r="I3" s="9"/>
      <c r="J3" s="9"/>
      <c r="K3" s="9"/>
      <c r="L3" s="9"/>
      <c r="M3" s="9"/>
      <c r="N3" s="7" t="s">
        <v>91</v>
      </c>
      <c r="O3" s="10"/>
      <c r="R3" s="2"/>
    </row>
    <row r="4" spans="1:18" ht="35.450000000000003" customHeight="1" x14ac:dyDescent="0.25">
      <c r="F4" s="9"/>
      <c r="G4" s="9"/>
      <c r="H4" s="9"/>
      <c r="I4" s="9"/>
      <c r="J4" s="9"/>
      <c r="K4" s="9"/>
      <c r="L4" s="9"/>
      <c r="M4" s="9"/>
      <c r="N4" s="7" t="s">
        <v>92</v>
      </c>
      <c r="O4" s="10"/>
      <c r="R4" s="2"/>
    </row>
    <row r="5" spans="1:18" ht="27" customHeight="1" x14ac:dyDescent="0.25"/>
    <row r="6" spans="1:18" x14ac:dyDescent="0.25">
      <c r="O6" s="1"/>
    </row>
    <row r="7" spans="1:18" ht="72" customHeight="1" x14ac:dyDescent="0.25">
      <c r="A7" s="64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</row>
    <row r="8" spans="1:18" ht="43.9" customHeight="1" x14ac:dyDescent="0.25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1:18" ht="40.15" customHeight="1" x14ac:dyDescent="0.25">
      <c r="A9" s="38" t="s">
        <v>27</v>
      </c>
      <c r="B9" s="38" t="s">
        <v>0</v>
      </c>
      <c r="C9" s="38" t="s">
        <v>1</v>
      </c>
      <c r="D9" s="68" t="s">
        <v>2</v>
      </c>
      <c r="E9" s="69"/>
      <c r="F9" s="69"/>
      <c r="G9" s="70"/>
      <c r="H9" s="70"/>
      <c r="I9" s="70"/>
      <c r="J9" s="70"/>
      <c r="K9" s="70"/>
      <c r="L9" s="70"/>
      <c r="M9" s="70"/>
      <c r="N9" s="71"/>
      <c r="O9" s="38" t="s">
        <v>30</v>
      </c>
    </row>
    <row r="10" spans="1:18" s="5" customFormat="1" ht="156.6" customHeight="1" x14ac:dyDescent="0.25">
      <c r="A10" s="38"/>
      <c r="B10" s="38"/>
      <c r="C10" s="38"/>
      <c r="D10" s="15" t="s">
        <v>3</v>
      </c>
      <c r="E10" s="15" t="s">
        <v>4</v>
      </c>
      <c r="F10" s="15" t="s">
        <v>5</v>
      </c>
      <c r="G10" s="15" t="s">
        <v>31</v>
      </c>
      <c r="H10" s="15" t="s">
        <v>32</v>
      </c>
      <c r="I10" s="15" t="s">
        <v>33</v>
      </c>
      <c r="J10" s="15" t="s">
        <v>34</v>
      </c>
      <c r="K10" s="15" t="s">
        <v>35</v>
      </c>
      <c r="L10" s="15" t="s">
        <v>36</v>
      </c>
      <c r="M10" s="15" t="s">
        <v>37</v>
      </c>
      <c r="N10" s="15" t="s">
        <v>38</v>
      </c>
      <c r="O10" s="38"/>
    </row>
    <row r="11" spans="1:18" s="5" customForma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  <c r="L11" s="26">
        <v>12</v>
      </c>
      <c r="M11" s="26">
        <v>13</v>
      </c>
      <c r="N11" s="26">
        <v>14</v>
      </c>
      <c r="O11" s="26">
        <v>15</v>
      </c>
    </row>
    <row r="12" spans="1:18" s="5" customFormat="1" ht="77.45" customHeight="1" x14ac:dyDescent="0.25">
      <c r="A12" s="40" t="s">
        <v>81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</row>
    <row r="13" spans="1:18" s="5" customFormat="1" ht="77.45" customHeight="1" x14ac:dyDescent="0.25">
      <c r="A13" s="40" t="s">
        <v>40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</row>
    <row r="14" spans="1:18" ht="80.45" customHeight="1" x14ac:dyDescent="0.25">
      <c r="A14" s="36" t="s">
        <v>99</v>
      </c>
      <c r="B14" s="14" t="s">
        <v>28</v>
      </c>
      <c r="C14" s="15">
        <f t="shared" ref="C14:N14" si="0">C15+C16</f>
        <v>6303283324.8000002</v>
      </c>
      <c r="D14" s="15">
        <f t="shared" si="0"/>
        <v>493434157.91000003</v>
      </c>
      <c r="E14" s="15">
        <f t="shared" si="0"/>
        <v>485573974.77999997</v>
      </c>
      <c r="F14" s="15">
        <f t="shared" si="0"/>
        <v>479941163.11000001</v>
      </c>
      <c r="G14" s="15">
        <f t="shared" si="0"/>
        <v>529849267</v>
      </c>
      <c r="H14" s="15">
        <f t="shared" si="0"/>
        <v>588453999</v>
      </c>
      <c r="I14" s="15">
        <f t="shared" si="0"/>
        <v>598275249</v>
      </c>
      <c r="J14" s="15">
        <f t="shared" si="0"/>
        <v>601226234</v>
      </c>
      <c r="K14" s="15">
        <f t="shared" si="0"/>
        <v>579979152</v>
      </c>
      <c r="L14" s="15">
        <f t="shared" si="0"/>
        <v>627185347</v>
      </c>
      <c r="M14" s="15">
        <f t="shared" si="0"/>
        <v>686061969</v>
      </c>
      <c r="N14" s="15">
        <f t="shared" si="0"/>
        <v>633302812</v>
      </c>
      <c r="O14" s="38" t="s">
        <v>7</v>
      </c>
    </row>
    <row r="15" spans="1:18" ht="183.6" customHeight="1" x14ac:dyDescent="0.25">
      <c r="A15" s="37"/>
      <c r="B15" s="14" t="s">
        <v>97</v>
      </c>
      <c r="C15" s="15">
        <f>SUM(D15:N15)</f>
        <v>3802118</v>
      </c>
      <c r="D15" s="15">
        <v>3712118</v>
      </c>
      <c r="E15" s="15">
        <v>9000</v>
      </c>
      <c r="F15" s="15">
        <v>9000</v>
      </c>
      <c r="G15" s="15">
        <v>9000</v>
      </c>
      <c r="H15" s="15">
        <v>9000</v>
      </c>
      <c r="I15" s="15">
        <v>9000</v>
      </c>
      <c r="J15" s="15">
        <v>9000</v>
      </c>
      <c r="K15" s="15">
        <v>9000</v>
      </c>
      <c r="L15" s="15">
        <v>9000</v>
      </c>
      <c r="M15" s="15">
        <v>9000</v>
      </c>
      <c r="N15" s="15">
        <v>9000</v>
      </c>
      <c r="O15" s="39"/>
      <c r="Q15" s="6"/>
    </row>
    <row r="16" spans="1:18" ht="207" customHeight="1" x14ac:dyDescent="0.25">
      <c r="A16" s="37"/>
      <c r="B16" s="14" t="s">
        <v>9</v>
      </c>
      <c r="C16" s="15">
        <f>SUM(D16:N16)</f>
        <v>6299481206.8000002</v>
      </c>
      <c r="D16" s="15">
        <v>489722039.91000003</v>
      </c>
      <c r="E16" s="15">
        <v>485564974.77999997</v>
      </c>
      <c r="F16" s="15">
        <v>479932163.11000001</v>
      </c>
      <c r="G16" s="15">
        <f>529840267</f>
        <v>529840267</v>
      </c>
      <c r="H16" s="15">
        <v>588444999</v>
      </c>
      <c r="I16" s="15">
        <v>598266249</v>
      </c>
      <c r="J16" s="15">
        <v>601217234</v>
      </c>
      <c r="K16" s="15">
        <v>579970152</v>
      </c>
      <c r="L16" s="15">
        <v>627176347</v>
      </c>
      <c r="M16" s="15">
        <v>686052969</v>
      </c>
      <c r="N16" s="15">
        <v>633293812</v>
      </c>
      <c r="O16" s="39"/>
    </row>
    <row r="17" spans="1:15" ht="78.599999999999994" customHeight="1" x14ac:dyDescent="0.25">
      <c r="A17" s="36" t="s">
        <v>11</v>
      </c>
      <c r="B17" s="14" t="s">
        <v>28</v>
      </c>
      <c r="C17" s="15">
        <f t="shared" ref="C17:N17" si="1">C18</f>
        <v>173155325.75</v>
      </c>
      <c r="D17" s="15">
        <f t="shared" si="1"/>
        <v>18235410.530000001</v>
      </c>
      <c r="E17" s="15">
        <f t="shared" si="1"/>
        <v>13487946.289999999</v>
      </c>
      <c r="F17" s="15">
        <f t="shared" si="1"/>
        <v>12291938.93</v>
      </c>
      <c r="G17" s="15">
        <f t="shared" si="1"/>
        <v>14124667</v>
      </c>
      <c r="H17" s="15">
        <f t="shared" si="1"/>
        <v>15686972</v>
      </c>
      <c r="I17" s="15">
        <f t="shared" si="1"/>
        <v>15948791</v>
      </c>
      <c r="J17" s="15">
        <f t="shared" si="1"/>
        <v>16027459</v>
      </c>
      <c r="K17" s="15">
        <f t="shared" si="1"/>
        <v>15461047</v>
      </c>
      <c r="L17" s="15">
        <f t="shared" si="1"/>
        <v>16719486</v>
      </c>
      <c r="M17" s="15">
        <f t="shared" si="1"/>
        <v>18289040</v>
      </c>
      <c r="N17" s="15">
        <f t="shared" si="1"/>
        <v>16882568</v>
      </c>
      <c r="O17" s="38" t="s">
        <v>12</v>
      </c>
    </row>
    <row r="18" spans="1:15" ht="363" customHeight="1" x14ac:dyDescent="0.25">
      <c r="A18" s="46"/>
      <c r="B18" s="14" t="s">
        <v>9</v>
      </c>
      <c r="C18" s="15">
        <f>SUM(D18:N18)</f>
        <v>173155325.75</v>
      </c>
      <c r="D18" s="15">
        <v>18235410.530000001</v>
      </c>
      <c r="E18" s="15">
        <v>13487946.289999999</v>
      </c>
      <c r="F18" s="15">
        <v>12291938.93</v>
      </c>
      <c r="G18" s="15">
        <f>14124667</f>
        <v>14124667</v>
      </c>
      <c r="H18" s="15">
        <v>15686972</v>
      </c>
      <c r="I18" s="15">
        <v>15948791</v>
      </c>
      <c r="J18" s="15">
        <v>16027459</v>
      </c>
      <c r="K18" s="15">
        <v>15461047</v>
      </c>
      <c r="L18" s="15">
        <v>16719486</v>
      </c>
      <c r="M18" s="15">
        <v>18289040</v>
      </c>
      <c r="N18" s="15">
        <v>16882568</v>
      </c>
      <c r="O18" s="46"/>
    </row>
    <row r="19" spans="1:15" ht="85.9" customHeight="1" x14ac:dyDescent="0.25">
      <c r="A19" s="36" t="s">
        <v>100</v>
      </c>
      <c r="B19" s="14" t="s">
        <v>28</v>
      </c>
      <c r="C19" s="15">
        <f t="shared" ref="C19:N19" si="2">C20</f>
        <v>44780742</v>
      </c>
      <c r="D19" s="15">
        <f t="shared" si="2"/>
        <v>3315600</v>
      </c>
      <c r="E19" s="15">
        <f t="shared" si="2"/>
        <v>3315600</v>
      </c>
      <c r="F19" s="15">
        <f t="shared" si="2"/>
        <v>3315600</v>
      </c>
      <c r="G19" s="15">
        <f t="shared" si="2"/>
        <v>3809956</v>
      </c>
      <c r="H19" s="15">
        <f t="shared" si="2"/>
        <v>4231369</v>
      </c>
      <c r="I19" s="15">
        <f t="shared" si="2"/>
        <v>4301991</v>
      </c>
      <c r="J19" s="15">
        <f t="shared" si="2"/>
        <v>4323211</v>
      </c>
      <c r="K19" s="15">
        <f t="shared" si="2"/>
        <v>4170428</v>
      </c>
      <c r="L19" s="15">
        <f t="shared" si="2"/>
        <v>4509876</v>
      </c>
      <c r="M19" s="15">
        <f t="shared" si="2"/>
        <v>4933245</v>
      </c>
      <c r="N19" s="15">
        <f t="shared" si="2"/>
        <v>4553866</v>
      </c>
      <c r="O19" s="38" t="s">
        <v>12</v>
      </c>
    </row>
    <row r="20" spans="1:15" ht="329.25" customHeight="1" x14ac:dyDescent="0.25">
      <c r="A20" s="37"/>
      <c r="B20" s="14" t="s">
        <v>9</v>
      </c>
      <c r="C20" s="15">
        <f>SUM(D20:N20)</f>
        <v>44780742</v>
      </c>
      <c r="D20" s="15">
        <v>3315600</v>
      </c>
      <c r="E20" s="15">
        <v>3315600</v>
      </c>
      <c r="F20" s="15">
        <v>3315600</v>
      </c>
      <c r="G20" s="15">
        <v>3809956</v>
      </c>
      <c r="H20" s="15">
        <v>4231369</v>
      </c>
      <c r="I20" s="15">
        <v>4301991</v>
      </c>
      <c r="J20" s="15">
        <v>4323211</v>
      </c>
      <c r="K20" s="15">
        <v>4170428</v>
      </c>
      <c r="L20" s="15">
        <v>4509876</v>
      </c>
      <c r="M20" s="15">
        <v>4933245</v>
      </c>
      <c r="N20" s="15">
        <v>4553866</v>
      </c>
      <c r="O20" s="39"/>
    </row>
    <row r="21" spans="1:15" ht="80.45" customHeight="1" x14ac:dyDescent="0.25">
      <c r="A21" s="36" t="s">
        <v>13</v>
      </c>
      <c r="B21" s="14" t="s">
        <v>28</v>
      </c>
      <c r="C21" s="15">
        <f t="shared" ref="C21:N21" si="3">C22</f>
        <v>8178808</v>
      </c>
      <c r="D21" s="15">
        <f t="shared" si="3"/>
        <v>605565</v>
      </c>
      <c r="E21" s="15">
        <f t="shared" si="3"/>
        <v>605565</v>
      </c>
      <c r="F21" s="15">
        <f t="shared" si="3"/>
        <v>605565</v>
      </c>
      <c r="G21" s="15">
        <f t="shared" si="3"/>
        <v>695855</v>
      </c>
      <c r="H21" s="15">
        <f t="shared" si="3"/>
        <v>772822</v>
      </c>
      <c r="I21" s="15">
        <f t="shared" si="3"/>
        <v>785721</v>
      </c>
      <c r="J21" s="15">
        <f t="shared" si="3"/>
        <v>789596</v>
      </c>
      <c r="K21" s="15">
        <f t="shared" si="3"/>
        <v>761692</v>
      </c>
      <c r="L21" s="15">
        <f t="shared" si="3"/>
        <v>823689</v>
      </c>
      <c r="M21" s="15">
        <f t="shared" si="3"/>
        <v>901014</v>
      </c>
      <c r="N21" s="15">
        <f t="shared" si="3"/>
        <v>831724</v>
      </c>
      <c r="O21" s="38" t="s">
        <v>12</v>
      </c>
    </row>
    <row r="22" spans="1:15" ht="180" customHeight="1" x14ac:dyDescent="0.25">
      <c r="A22" s="37"/>
      <c r="B22" s="14" t="s">
        <v>9</v>
      </c>
      <c r="C22" s="15">
        <f>SUM(D22:N22)</f>
        <v>8178808</v>
      </c>
      <c r="D22" s="15">
        <v>605565</v>
      </c>
      <c r="E22" s="15">
        <v>605565</v>
      </c>
      <c r="F22" s="15">
        <v>605565</v>
      </c>
      <c r="G22" s="15">
        <f>695855</f>
        <v>695855</v>
      </c>
      <c r="H22" s="15">
        <v>772822</v>
      </c>
      <c r="I22" s="15">
        <v>785721</v>
      </c>
      <c r="J22" s="15">
        <v>789596</v>
      </c>
      <c r="K22" s="15">
        <v>761692</v>
      </c>
      <c r="L22" s="15">
        <v>823689</v>
      </c>
      <c r="M22" s="15">
        <v>901014</v>
      </c>
      <c r="N22" s="15">
        <v>831724</v>
      </c>
      <c r="O22" s="39"/>
    </row>
    <row r="23" spans="1:15" ht="94.9" customHeight="1" x14ac:dyDescent="0.25">
      <c r="A23" s="36" t="s">
        <v>101</v>
      </c>
      <c r="B23" s="14" t="s">
        <v>28</v>
      </c>
      <c r="C23" s="15">
        <f t="shared" ref="C23:N23" si="4">C24</f>
        <v>20841588.579999998</v>
      </c>
      <c r="D23" s="15">
        <f t="shared" si="4"/>
        <v>1810481.64</v>
      </c>
      <c r="E23" s="15">
        <f t="shared" si="4"/>
        <v>1461143.68</v>
      </c>
      <c r="F23" s="15">
        <f t="shared" si="4"/>
        <v>1527016.26</v>
      </c>
      <c r="G23" s="15">
        <f t="shared" si="4"/>
        <v>1754694</v>
      </c>
      <c r="H23" s="15">
        <f t="shared" si="4"/>
        <v>1948778</v>
      </c>
      <c r="I23" s="15">
        <f t="shared" si="4"/>
        <v>1981304</v>
      </c>
      <c r="J23" s="15">
        <f t="shared" si="4"/>
        <v>1991077</v>
      </c>
      <c r="K23" s="15">
        <f t="shared" si="4"/>
        <v>1920711</v>
      </c>
      <c r="L23" s="15">
        <f t="shared" si="4"/>
        <v>2077046</v>
      </c>
      <c r="M23" s="15">
        <f t="shared" si="4"/>
        <v>2272031</v>
      </c>
      <c r="N23" s="15">
        <f t="shared" si="4"/>
        <v>2097306</v>
      </c>
      <c r="O23" s="38" t="s">
        <v>14</v>
      </c>
    </row>
    <row r="24" spans="1:15" ht="156.75" customHeight="1" x14ac:dyDescent="0.25">
      <c r="A24" s="37"/>
      <c r="B24" s="14" t="s">
        <v>9</v>
      </c>
      <c r="C24" s="15">
        <f>SUM(D24:N24)</f>
        <v>20841588.579999998</v>
      </c>
      <c r="D24" s="15">
        <f>D26+D28</f>
        <v>1810481.64</v>
      </c>
      <c r="E24" s="35">
        <f t="shared" ref="E24:N24" si="5">E26+E28</f>
        <v>1461143.68</v>
      </c>
      <c r="F24" s="35">
        <f t="shared" si="5"/>
        <v>1527016.26</v>
      </c>
      <c r="G24" s="35">
        <f t="shared" si="5"/>
        <v>1754694</v>
      </c>
      <c r="H24" s="35">
        <f t="shared" si="5"/>
        <v>1948778</v>
      </c>
      <c r="I24" s="35">
        <f t="shared" si="5"/>
        <v>1981304</v>
      </c>
      <c r="J24" s="35">
        <f t="shared" si="5"/>
        <v>1991077</v>
      </c>
      <c r="K24" s="35">
        <f t="shared" si="5"/>
        <v>1920711</v>
      </c>
      <c r="L24" s="35">
        <f t="shared" si="5"/>
        <v>2077046</v>
      </c>
      <c r="M24" s="35">
        <f t="shared" si="5"/>
        <v>2272031</v>
      </c>
      <c r="N24" s="35">
        <f t="shared" si="5"/>
        <v>2097306</v>
      </c>
      <c r="O24" s="39"/>
    </row>
    <row r="25" spans="1:15" ht="76.900000000000006" customHeight="1" x14ac:dyDescent="0.25">
      <c r="A25" s="36" t="s">
        <v>25</v>
      </c>
      <c r="B25" s="14" t="s">
        <v>28</v>
      </c>
      <c r="C25" s="15">
        <f t="shared" ref="C25:N27" si="6">C26</f>
        <v>20373799.440000001</v>
      </c>
      <c r="D25" s="15">
        <f t="shared" si="6"/>
        <v>1342692.5</v>
      </c>
      <c r="E25" s="15">
        <f t="shared" si="6"/>
        <v>1461143.68</v>
      </c>
      <c r="F25" s="15">
        <f t="shared" si="6"/>
        <v>1527016.26</v>
      </c>
      <c r="G25" s="15">
        <f t="shared" si="6"/>
        <v>1754694</v>
      </c>
      <c r="H25" s="15">
        <f t="shared" si="6"/>
        <v>1948778</v>
      </c>
      <c r="I25" s="15">
        <f t="shared" si="6"/>
        <v>1981304</v>
      </c>
      <c r="J25" s="15">
        <f t="shared" si="6"/>
        <v>1991077</v>
      </c>
      <c r="K25" s="15">
        <f t="shared" si="6"/>
        <v>1920711</v>
      </c>
      <c r="L25" s="15">
        <f t="shared" si="6"/>
        <v>2077046</v>
      </c>
      <c r="M25" s="15">
        <f t="shared" si="6"/>
        <v>2272031</v>
      </c>
      <c r="N25" s="15">
        <f t="shared" si="6"/>
        <v>2097306</v>
      </c>
      <c r="O25" s="38" t="s">
        <v>15</v>
      </c>
    </row>
    <row r="26" spans="1:15" ht="177.75" customHeight="1" x14ac:dyDescent="0.25">
      <c r="A26" s="37"/>
      <c r="B26" s="14" t="s">
        <v>9</v>
      </c>
      <c r="C26" s="15">
        <f>SUM(D26:N26)</f>
        <v>20373799.440000001</v>
      </c>
      <c r="D26" s="15">
        <v>1342692.5</v>
      </c>
      <c r="E26" s="15">
        <v>1461143.68</v>
      </c>
      <c r="F26" s="15">
        <v>1527016.26</v>
      </c>
      <c r="G26" s="15">
        <f>1754694</f>
        <v>1754694</v>
      </c>
      <c r="H26" s="15">
        <v>1948778</v>
      </c>
      <c r="I26" s="15">
        <v>1981304</v>
      </c>
      <c r="J26" s="15">
        <v>1991077</v>
      </c>
      <c r="K26" s="15">
        <v>1920711</v>
      </c>
      <c r="L26" s="15">
        <v>2077046</v>
      </c>
      <c r="M26" s="15">
        <v>2272031</v>
      </c>
      <c r="N26" s="15">
        <v>2097306</v>
      </c>
      <c r="O26" s="39"/>
    </row>
    <row r="27" spans="1:15" ht="76.900000000000006" customHeight="1" x14ac:dyDescent="0.25">
      <c r="A27" s="36" t="s">
        <v>98</v>
      </c>
      <c r="B27" s="30" t="s">
        <v>28</v>
      </c>
      <c r="C27" s="31">
        <f t="shared" si="6"/>
        <v>467789.14</v>
      </c>
      <c r="D27" s="31">
        <f t="shared" si="6"/>
        <v>467789.14</v>
      </c>
      <c r="E27" s="31">
        <f t="shared" si="6"/>
        <v>0</v>
      </c>
      <c r="F27" s="31">
        <f t="shared" si="6"/>
        <v>0</v>
      </c>
      <c r="G27" s="31">
        <f t="shared" si="6"/>
        <v>0</v>
      </c>
      <c r="H27" s="31">
        <f t="shared" si="6"/>
        <v>0</v>
      </c>
      <c r="I27" s="31">
        <f t="shared" si="6"/>
        <v>0</v>
      </c>
      <c r="J27" s="31">
        <f t="shared" si="6"/>
        <v>0</v>
      </c>
      <c r="K27" s="31">
        <f t="shared" si="6"/>
        <v>0</v>
      </c>
      <c r="L27" s="31">
        <f t="shared" si="6"/>
        <v>0</v>
      </c>
      <c r="M27" s="31">
        <f t="shared" si="6"/>
        <v>0</v>
      </c>
      <c r="N27" s="31">
        <f t="shared" si="6"/>
        <v>0</v>
      </c>
      <c r="O27" s="38" t="s">
        <v>15</v>
      </c>
    </row>
    <row r="28" spans="1:15" ht="210.75" customHeight="1" x14ac:dyDescent="0.25">
      <c r="A28" s="37"/>
      <c r="B28" s="30" t="s">
        <v>9</v>
      </c>
      <c r="C28" s="31">
        <f>SUM(D28:N28)</f>
        <v>467789.14</v>
      </c>
      <c r="D28" s="31">
        <v>467789.14</v>
      </c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9"/>
    </row>
    <row r="29" spans="1:15" ht="76.900000000000006" customHeight="1" x14ac:dyDescent="0.25">
      <c r="A29" s="36" t="s">
        <v>16</v>
      </c>
      <c r="B29" s="14" t="s">
        <v>28</v>
      </c>
      <c r="C29" s="15">
        <f t="shared" ref="C29:N29" si="7">C30</f>
        <v>2423964642.77</v>
      </c>
      <c r="D29" s="15">
        <f t="shared" si="7"/>
        <v>176691075.59</v>
      </c>
      <c r="E29" s="15">
        <f t="shared" si="7"/>
        <v>234534075.59</v>
      </c>
      <c r="F29" s="15">
        <f t="shared" si="7"/>
        <v>234534075.59</v>
      </c>
      <c r="G29" s="15">
        <f t="shared" si="7"/>
        <v>213238382</v>
      </c>
      <c r="H29" s="15">
        <f t="shared" si="7"/>
        <v>213089168</v>
      </c>
      <c r="I29" s="15">
        <f t="shared" si="7"/>
        <v>212605140</v>
      </c>
      <c r="J29" s="15">
        <f t="shared" si="7"/>
        <v>212253338</v>
      </c>
      <c r="K29" s="15">
        <f t="shared" si="7"/>
        <v>200409368</v>
      </c>
      <c r="L29" s="15">
        <f t="shared" si="7"/>
        <v>242203340</v>
      </c>
      <c r="M29" s="15">
        <f t="shared" si="7"/>
        <v>242203340</v>
      </c>
      <c r="N29" s="15">
        <f t="shared" si="7"/>
        <v>242203340</v>
      </c>
      <c r="O29" s="38" t="s">
        <v>12</v>
      </c>
    </row>
    <row r="30" spans="1:15" ht="300.60000000000002" customHeight="1" x14ac:dyDescent="0.25">
      <c r="A30" s="46"/>
      <c r="B30" s="14" t="s">
        <v>29</v>
      </c>
      <c r="C30" s="15">
        <f>SUM(D30:N30)</f>
        <v>2423964642.77</v>
      </c>
      <c r="D30" s="15">
        <v>176691075.59</v>
      </c>
      <c r="E30" s="15">
        <v>234534075.59</v>
      </c>
      <c r="F30" s="15">
        <v>234534075.59</v>
      </c>
      <c r="G30" s="15">
        <v>213238382</v>
      </c>
      <c r="H30" s="15">
        <v>213089168</v>
      </c>
      <c r="I30" s="15">
        <v>212605140</v>
      </c>
      <c r="J30" s="15">
        <v>212253338</v>
      </c>
      <c r="K30" s="15">
        <v>200409368</v>
      </c>
      <c r="L30" s="15">
        <v>242203340</v>
      </c>
      <c r="M30" s="15">
        <v>242203340</v>
      </c>
      <c r="N30" s="15">
        <v>242203340</v>
      </c>
      <c r="O30" s="46"/>
    </row>
    <row r="31" spans="1:15" ht="82.15" customHeight="1" x14ac:dyDescent="0.25">
      <c r="A31" s="36" t="s">
        <v>102</v>
      </c>
      <c r="B31" s="14" t="s">
        <v>28</v>
      </c>
      <c r="C31" s="15">
        <f t="shared" ref="C31:N31" si="8">C32</f>
        <v>445909370</v>
      </c>
      <c r="D31" s="15">
        <f t="shared" si="8"/>
        <v>409370</v>
      </c>
      <c r="E31" s="15">
        <f t="shared" si="8"/>
        <v>0</v>
      </c>
      <c r="F31" s="15">
        <f t="shared" si="8"/>
        <v>0</v>
      </c>
      <c r="G31" s="15">
        <f t="shared" si="8"/>
        <v>0</v>
      </c>
      <c r="H31" s="15">
        <f t="shared" si="8"/>
        <v>0</v>
      </c>
      <c r="I31" s="15">
        <f t="shared" si="8"/>
        <v>0</v>
      </c>
      <c r="J31" s="15">
        <f t="shared" si="8"/>
        <v>0</v>
      </c>
      <c r="K31" s="15">
        <f t="shared" si="8"/>
        <v>16500000</v>
      </c>
      <c r="L31" s="15">
        <f t="shared" si="8"/>
        <v>145500000</v>
      </c>
      <c r="M31" s="15">
        <f t="shared" si="8"/>
        <v>127500000</v>
      </c>
      <c r="N31" s="15">
        <f t="shared" si="8"/>
        <v>156000000</v>
      </c>
      <c r="O31" s="38" t="s">
        <v>39</v>
      </c>
    </row>
    <row r="32" spans="1:15" ht="185.45" customHeight="1" x14ac:dyDescent="0.25">
      <c r="A32" s="37"/>
      <c r="B32" s="14" t="s">
        <v>9</v>
      </c>
      <c r="C32" s="15">
        <f>SUM(D32:N32)</f>
        <v>445909370</v>
      </c>
      <c r="D32" s="15">
        <v>409370</v>
      </c>
      <c r="E32" s="15"/>
      <c r="F32" s="15"/>
      <c r="G32" s="15"/>
      <c r="H32" s="15"/>
      <c r="I32" s="15"/>
      <c r="J32" s="15"/>
      <c r="K32" s="15">
        <f>10500000+6000000</f>
        <v>16500000</v>
      </c>
      <c r="L32" s="15">
        <f>93000000+52500000</f>
        <v>145500000</v>
      </c>
      <c r="M32" s="15">
        <f>82500000+42000000+3000000</f>
        <v>127500000</v>
      </c>
      <c r="N32" s="15">
        <f>84000000+48000000+24000000</f>
        <v>156000000</v>
      </c>
      <c r="O32" s="39"/>
    </row>
    <row r="33" spans="1:15" ht="46.9" customHeight="1" x14ac:dyDescent="0.25">
      <c r="A33" s="36" t="s">
        <v>41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s="5" customFormat="1" ht="44.45" customHeight="1" x14ac:dyDescent="0.25">
      <c r="A34" s="40" t="s">
        <v>42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2"/>
    </row>
    <row r="35" spans="1:15" ht="68.45" customHeight="1" x14ac:dyDescent="0.25">
      <c r="A35" s="36" t="s">
        <v>103</v>
      </c>
      <c r="B35" s="14" t="s">
        <v>28</v>
      </c>
      <c r="C35" s="15">
        <f t="shared" ref="C35:N35" si="9">C36+C37+C38</f>
        <v>76254598237</v>
      </c>
      <c r="D35" s="15">
        <f t="shared" si="9"/>
        <v>7028209555.3599997</v>
      </c>
      <c r="E35" s="15">
        <f t="shared" si="9"/>
        <v>7043432411.8699999</v>
      </c>
      <c r="F35" s="15">
        <f t="shared" si="9"/>
        <v>7035308219.8999996</v>
      </c>
      <c r="G35" s="15">
        <f t="shared" si="9"/>
        <v>6575308397.3100004</v>
      </c>
      <c r="H35" s="15">
        <f t="shared" si="9"/>
        <v>6646522647.8299999</v>
      </c>
      <c r="I35" s="15">
        <f t="shared" si="9"/>
        <v>6651961066.5900002</v>
      </c>
      <c r="J35" s="15">
        <f t="shared" si="9"/>
        <v>6647239817.71</v>
      </c>
      <c r="K35" s="15">
        <f t="shared" si="9"/>
        <v>6334208661.5299997</v>
      </c>
      <c r="L35" s="15">
        <f t="shared" si="9"/>
        <v>7401863528.5100002</v>
      </c>
      <c r="M35" s="15">
        <f t="shared" si="9"/>
        <v>7480502765.4700003</v>
      </c>
      <c r="N35" s="15">
        <f t="shared" si="9"/>
        <v>7410041164.9200001</v>
      </c>
      <c r="O35" s="38" t="s">
        <v>12</v>
      </c>
    </row>
    <row r="36" spans="1:15" ht="153.75" x14ac:dyDescent="0.25">
      <c r="A36" s="37"/>
      <c r="B36" s="14" t="s">
        <v>79</v>
      </c>
      <c r="C36" s="15">
        <f>SUM(D36:N36)</f>
        <v>59994320924.790001</v>
      </c>
      <c r="D36" s="15">
        <v>5930336658.4099998</v>
      </c>
      <c r="E36" s="15">
        <v>5673298271.6700001</v>
      </c>
      <c r="F36" s="15">
        <v>5662966671.4499998</v>
      </c>
      <c r="G36" s="15">
        <v>5124001817.7200003</v>
      </c>
      <c r="H36" s="15">
        <v>5116875089.1999998</v>
      </c>
      <c r="I36" s="15">
        <v>5109184765.2799997</v>
      </c>
      <c r="J36" s="15">
        <v>5100518732.2799997</v>
      </c>
      <c r="K36" s="15">
        <v>4815815588.7799997</v>
      </c>
      <c r="L36" s="15">
        <v>5820441110</v>
      </c>
      <c r="M36" s="15">
        <v>5820441110</v>
      </c>
      <c r="N36" s="15">
        <v>5820441110</v>
      </c>
      <c r="O36" s="39"/>
    </row>
    <row r="37" spans="1:15" ht="92.25" x14ac:dyDescent="0.25">
      <c r="A37" s="37"/>
      <c r="B37" s="14" t="s">
        <v>9</v>
      </c>
      <c r="C37" s="15">
        <f>SUM(D37:N37)</f>
        <v>8339994261.6499996</v>
      </c>
      <c r="D37" s="15">
        <v>607916026.38999999</v>
      </c>
      <c r="E37" s="15">
        <v>627101522.20000005</v>
      </c>
      <c r="F37" s="15">
        <v>629308930.45000005</v>
      </c>
      <c r="G37" s="15">
        <f>708273961.59</f>
        <v>708273961.59000003</v>
      </c>
      <c r="H37" s="15">
        <v>786614940.63</v>
      </c>
      <c r="I37" s="15">
        <v>799743683.30999994</v>
      </c>
      <c r="J37" s="15">
        <v>803688467.42999995</v>
      </c>
      <c r="K37" s="15">
        <v>775360454.75</v>
      </c>
      <c r="L37" s="15">
        <v>838389800.50999999</v>
      </c>
      <c r="M37" s="15">
        <v>917029037.47000003</v>
      </c>
      <c r="N37" s="15">
        <v>846567436.91999996</v>
      </c>
      <c r="O37" s="39"/>
    </row>
    <row r="38" spans="1:15" ht="201.75" customHeight="1" x14ac:dyDescent="0.25">
      <c r="A38" s="37"/>
      <c r="B38" s="14" t="s">
        <v>10</v>
      </c>
      <c r="C38" s="15">
        <f>SUM(D38:N38)</f>
        <v>7920283050.5600004</v>
      </c>
      <c r="D38" s="15">
        <v>489956870.56</v>
      </c>
      <c r="E38" s="15">
        <v>743032618</v>
      </c>
      <c r="F38" s="15">
        <v>743032618</v>
      </c>
      <c r="G38" s="15">
        <v>743032618</v>
      </c>
      <c r="H38" s="15">
        <v>743032618</v>
      </c>
      <c r="I38" s="15">
        <v>743032618</v>
      </c>
      <c r="J38" s="15">
        <v>743032618</v>
      </c>
      <c r="K38" s="15">
        <v>743032618</v>
      </c>
      <c r="L38" s="15">
        <v>743032618</v>
      </c>
      <c r="M38" s="15">
        <v>743032618</v>
      </c>
      <c r="N38" s="15">
        <v>743032618</v>
      </c>
      <c r="O38" s="39"/>
    </row>
    <row r="39" spans="1:15" ht="64.900000000000006" customHeight="1" x14ac:dyDescent="0.25">
      <c r="A39" s="36" t="s">
        <v>104</v>
      </c>
      <c r="B39" s="14" t="s">
        <v>28</v>
      </c>
      <c r="C39" s="15">
        <f>C41+C40</f>
        <v>2289668934.4699998</v>
      </c>
      <c r="D39" s="15">
        <f t="shared" ref="D39:N39" si="10">D41+D40</f>
        <v>223669604.53999999</v>
      </c>
      <c r="E39" s="15">
        <f t="shared" si="10"/>
        <v>268139400.93000001</v>
      </c>
      <c r="F39" s="15">
        <f t="shared" si="10"/>
        <v>297537007</v>
      </c>
      <c r="G39" s="15">
        <f t="shared" si="10"/>
        <v>164097543</v>
      </c>
      <c r="H39" s="15">
        <f t="shared" si="10"/>
        <v>182248094</v>
      </c>
      <c r="I39" s="15">
        <f t="shared" si="10"/>
        <v>185289846</v>
      </c>
      <c r="J39" s="15">
        <f t="shared" si="10"/>
        <v>186203800</v>
      </c>
      <c r="K39" s="15">
        <f t="shared" si="10"/>
        <v>179623337</v>
      </c>
      <c r="L39" s="15">
        <f t="shared" si="10"/>
        <v>194243632</v>
      </c>
      <c r="M39" s="15">
        <f t="shared" si="10"/>
        <v>212478390</v>
      </c>
      <c r="N39" s="15">
        <f t="shared" si="10"/>
        <v>196138280</v>
      </c>
      <c r="O39" s="38" t="s">
        <v>15</v>
      </c>
    </row>
    <row r="40" spans="1:15" ht="153.75" x14ac:dyDescent="0.25">
      <c r="A40" s="36"/>
      <c r="B40" s="14" t="s">
        <v>79</v>
      </c>
      <c r="C40" s="15">
        <f>SUM(D40:N40)</f>
        <v>500000</v>
      </c>
      <c r="D40" s="15">
        <f>D49</f>
        <v>500000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38"/>
    </row>
    <row r="41" spans="1:15" ht="99.75" customHeight="1" x14ac:dyDescent="0.25">
      <c r="A41" s="37"/>
      <c r="B41" s="14" t="s">
        <v>9</v>
      </c>
      <c r="C41" s="15">
        <f>SUM(D41:N41)</f>
        <v>2289168934.4699998</v>
      </c>
      <c r="D41" s="15">
        <f t="shared" ref="D41:N41" si="11">D43+D45+D47</f>
        <v>223169604.53999999</v>
      </c>
      <c r="E41" s="15">
        <f t="shared" si="11"/>
        <v>268139400.93000001</v>
      </c>
      <c r="F41" s="15">
        <f t="shared" si="11"/>
        <v>297537007</v>
      </c>
      <c r="G41" s="15">
        <f t="shared" si="11"/>
        <v>164097543</v>
      </c>
      <c r="H41" s="15">
        <f t="shared" si="11"/>
        <v>182248094</v>
      </c>
      <c r="I41" s="15">
        <f t="shared" si="11"/>
        <v>185289846</v>
      </c>
      <c r="J41" s="15">
        <f t="shared" si="11"/>
        <v>186203800</v>
      </c>
      <c r="K41" s="15">
        <f t="shared" si="11"/>
        <v>179623337</v>
      </c>
      <c r="L41" s="15">
        <f t="shared" si="11"/>
        <v>194243632</v>
      </c>
      <c r="M41" s="15">
        <f t="shared" si="11"/>
        <v>212478390</v>
      </c>
      <c r="N41" s="15">
        <f t="shared" si="11"/>
        <v>196138280</v>
      </c>
      <c r="O41" s="39"/>
    </row>
    <row r="42" spans="1:15" ht="61.5" x14ac:dyDescent="0.25">
      <c r="A42" s="36" t="s">
        <v>49</v>
      </c>
      <c r="B42" s="14" t="s">
        <v>28</v>
      </c>
      <c r="C42" s="15">
        <f t="shared" ref="C42:N42" si="12">C43</f>
        <v>1924201454.3299999</v>
      </c>
      <c r="D42" s="15">
        <f t="shared" si="12"/>
        <v>132402890.13</v>
      </c>
      <c r="E42" s="15">
        <f t="shared" si="12"/>
        <v>145588402.88999999</v>
      </c>
      <c r="F42" s="15">
        <f t="shared" si="12"/>
        <v>145887239.31</v>
      </c>
      <c r="G42" s="15">
        <f t="shared" si="12"/>
        <v>164097543</v>
      </c>
      <c r="H42" s="15">
        <f t="shared" si="12"/>
        <v>182248094</v>
      </c>
      <c r="I42" s="15">
        <f t="shared" si="12"/>
        <v>185289846</v>
      </c>
      <c r="J42" s="15">
        <f t="shared" si="12"/>
        <v>186203800</v>
      </c>
      <c r="K42" s="15">
        <f t="shared" si="12"/>
        <v>179623337</v>
      </c>
      <c r="L42" s="15">
        <f t="shared" si="12"/>
        <v>194243632</v>
      </c>
      <c r="M42" s="15">
        <f t="shared" si="12"/>
        <v>212478390</v>
      </c>
      <c r="N42" s="15">
        <f t="shared" si="12"/>
        <v>196138280</v>
      </c>
      <c r="O42" s="38" t="s">
        <v>15</v>
      </c>
    </row>
    <row r="43" spans="1:15" ht="190.5" customHeight="1" x14ac:dyDescent="0.25">
      <c r="A43" s="46"/>
      <c r="B43" s="14" t="s">
        <v>9</v>
      </c>
      <c r="C43" s="15">
        <f>SUM(D43:N43)</f>
        <v>1924201454.3299999</v>
      </c>
      <c r="D43" s="15">
        <v>132402890.13</v>
      </c>
      <c r="E43" s="15">
        <v>145588402.88999999</v>
      </c>
      <c r="F43" s="15">
        <v>145887239.31</v>
      </c>
      <c r="G43" s="15">
        <f>164097543</f>
        <v>164097543</v>
      </c>
      <c r="H43" s="15">
        <v>182248094</v>
      </c>
      <c r="I43" s="15">
        <v>185289846</v>
      </c>
      <c r="J43" s="15">
        <v>186203800</v>
      </c>
      <c r="K43" s="15">
        <v>179623337</v>
      </c>
      <c r="L43" s="15">
        <v>194243632</v>
      </c>
      <c r="M43" s="15">
        <v>212478390</v>
      </c>
      <c r="N43" s="15">
        <v>196138280</v>
      </c>
      <c r="O43" s="46"/>
    </row>
    <row r="44" spans="1:15" ht="61.5" x14ac:dyDescent="0.25">
      <c r="A44" s="36" t="s">
        <v>50</v>
      </c>
      <c r="B44" s="14" t="s">
        <v>28</v>
      </c>
      <c r="C44" s="15">
        <f t="shared" ref="C44:N44" si="13">C45</f>
        <v>12489180.060000001</v>
      </c>
      <c r="D44" s="15">
        <f t="shared" si="13"/>
        <v>559806.71999999997</v>
      </c>
      <c r="E44" s="15">
        <f t="shared" si="13"/>
        <v>11929373.34</v>
      </c>
      <c r="F44" s="15">
        <f t="shared" si="13"/>
        <v>0</v>
      </c>
      <c r="G44" s="15">
        <f t="shared" si="13"/>
        <v>0</v>
      </c>
      <c r="H44" s="15">
        <f t="shared" si="13"/>
        <v>0</v>
      </c>
      <c r="I44" s="15">
        <f t="shared" si="13"/>
        <v>0</v>
      </c>
      <c r="J44" s="15">
        <f t="shared" si="13"/>
        <v>0</v>
      </c>
      <c r="K44" s="15">
        <f t="shared" si="13"/>
        <v>0</v>
      </c>
      <c r="L44" s="15">
        <f t="shared" si="13"/>
        <v>0</v>
      </c>
      <c r="M44" s="15">
        <f t="shared" si="13"/>
        <v>0</v>
      </c>
      <c r="N44" s="15">
        <f t="shared" si="13"/>
        <v>0</v>
      </c>
      <c r="O44" s="38" t="s">
        <v>15</v>
      </c>
    </row>
    <row r="45" spans="1:15" ht="228" customHeight="1" x14ac:dyDescent="0.25">
      <c r="A45" s="37"/>
      <c r="B45" s="14" t="s">
        <v>9</v>
      </c>
      <c r="C45" s="15">
        <f>SUM(D45:N45)</f>
        <v>12489180.060000001</v>
      </c>
      <c r="D45" s="15">
        <v>559806.71999999997</v>
      </c>
      <c r="E45" s="15">
        <v>11929373.34</v>
      </c>
      <c r="F45" s="15">
        <v>0</v>
      </c>
      <c r="G45" s="15"/>
      <c r="H45" s="15"/>
      <c r="I45" s="15"/>
      <c r="J45" s="15"/>
      <c r="K45" s="15"/>
      <c r="L45" s="15"/>
      <c r="M45" s="15"/>
      <c r="N45" s="15"/>
      <c r="O45" s="39"/>
    </row>
    <row r="46" spans="1:15" ht="61.5" x14ac:dyDescent="0.25">
      <c r="A46" s="36" t="s">
        <v>51</v>
      </c>
      <c r="B46" s="14" t="s">
        <v>28</v>
      </c>
      <c r="C46" s="15">
        <f t="shared" ref="C46:N48" si="14">C47</f>
        <v>352478300.07999998</v>
      </c>
      <c r="D46" s="15">
        <f t="shared" si="14"/>
        <v>90206907.689999998</v>
      </c>
      <c r="E46" s="15">
        <f t="shared" si="14"/>
        <v>110621624.7</v>
      </c>
      <c r="F46" s="15">
        <f t="shared" si="14"/>
        <v>151649767.69</v>
      </c>
      <c r="G46" s="15">
        <f t="shared" si="14"/>
        <v>0</v>
      </c>
      <c r="H46" s="15">
        <f t="shared" si="14"/>
        <v>0</v>
      </c>
      <c r="I46" s="15">
        <f t="shared" si="14"/>
        <v>0</v>
      </c>
      <c r="J46" s="15">
        <f t="shared" si="14"/>
        <v>0</v>
      </c>
      <c r="K46" s="15">
        <f t="shared" si="14"/>
        <v>0</v>
      </c>
      <c r="L46" s="15">
        <f t="shared" si="14"/>
        <v>0</v>
      </c>
      <c r="M46" s="15">
        <f t="shared" si="14"/>
        <v>0</v>
      </c>
      <c r="N46" s="15">
        <f t="shared" si="14"/>
        <v>0</v>
      </c>
      <c r="O46" s="38" t="s">
        <v>15</v>
      </c>
    </row>
    <row r="47" spans="1:15" ht="225" customHeight="1" x14ac:dyDescent="0.25">
      <c r="A47" s="37"/>
      <c r="B47" s="14" t="s">
        <v>9</v>
      </c>
      <c r="C47" s="15">
        <f>SUM(D47:N47)</f>
        <v>352478300.07999998</v>
      </c>
      <c r="D47" s="15">
        <f>90674696.83-467789.14</f>
        <v>90206907.689999998</v>
      </c>
      <c r="E47" s="15">
        <v>110621624.7</v>
      </c>
      <c r="F47" s="15">
        <v>151649767.69</v>
      </c>
      <c r="G47" s="15"/>
      <c r="H47" s="15"/>
      <c r="I47" s="15"/>
      <c r="J47" s="15"/>
      <c r="K47" s="15"/>
      <c r="L47" s="15"/>
      <c r="M47" s="15"/>
      <c r="N47" s="15"/>
      <c r="O47" s="39"/>
    </row>
    <row r="48" spans="1:15" ht="61.5" x14ac:dyDescent="0.25">
      <c r="A48" s="36" t="s">
        <v>93</v>
      </c>
      <c r="B48" s="14" t="s">
        <v>28</v>
      </c>
      <c r="C48" s="15">
        <f t="shared" si="14"/>
        <v>500000</v>
      </c>
      <c r="D48" s="15">
        <f t="shared" si="14"/>
        <v>500000</v>
      </c>
      <c r="E48" s="15">
        <f t="shared" si="14"/>
        <v>0</v>
      </c>
      <c r="F48" s="15">
        <f t="shared" si="14"/>
        <v>0</v>
      </c>
      <c r="G48" s="15">
        <f t="shared" si="14"/>
        <v>0</v>
      </c>
      <c r="H48" s="15">
        <f t="shared" si="14"/>
        <v>0</v>
      </c>
      <c r="I48" s="15">
        <f t="shared" si="14"/>
        <v>0</v>
      </c>
      <c r="J48" s="15">
        <f t="shared" si="14"/>
        <v>0</v>
      </c>
      <c r="K48" s="15">
        <f t="shared" si="14"/>
        <v>0</v>
      </c>
      <c r="L48" s="15">
        <f t="shared" si="14"/>
        <v>0</v>
      </c>
      <c r="M48" s="15">
        <f t="shared" si="14"/>
        <v>0</v>
      </c>
      <c r="N48" s="15">
        <f t="shared" si="14"/>
        <v>0</v>
      </c>
      <c r="O48" s="38" t="s">
        <v>15</v>
      </c>
    </row>
    <row r="49" spans="1:15" ht="169.5" customHeight="1" x14ac:dyDescent="0.25">
      <c r="A49" s="37"/>
      <c r="B49" s="14" t="s">
        <v>79</v>
      </c>
      <c r="C49" s="15">
        <f>SUM(D49:N49)</f>
        <v>500000</v>
      </c>
      <c r="D49" s="15">
        <v>500000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39"/>
    </row>
    <row r="50" spans="1:15" ht="61.5" x14ac:dyDescent="0.25">
      <c r="A50" s="49" t="s">
        <v>105</v>
      </c>
      <c r="B50" s="14" t="s">
        <v>28</v>
      </c>
      <c r="C50" s="15">
        <f>C51+C52</f>
        <v>3344456695.6599998</v>
      </c>
      <c r="D50" s="21">
        <f t="shared" ref="D50:N50" si="15">D51+D52</f>
        <v>321380181.66000003</v>
      </c>
      <c r="E50" s="21">
        <f t="shared" si="15"/>
        <v>315521700</v>
      </c>
      <c r="F50" s="21">
        <f t="shared" si="15"/>
        <v>315521700</v>
      </c>
      <c r="G50" s="21">
        <f t="shared" si="15"/>
        <v>286872330</v>
      </c>
      <c r="H50" s="21">
        <f t="shared" si="15"/>
        <v>286462151</v>
      </c>
      <c r="I50" s="21">
        <f t="shared" si="15"/>
        <v>286020421</v>
      </c>
      <c r="J50" s="21">
        <f t="shared" si="15"/>
        <v>285547139</v>
      </c>
      <c r="K50" s="21">
        <f t="shared" si="15"/>
        <v>269613293</v>
      </c>
      <c r="L50" s="21">
        <f t="shared" si="15"/>
        <v>325839260</v>
      </c>
      <c r="M50" s="21">
        <f t="shared" si="15"/>
        <v>325839260</v>
      </c>
      <c r="N50" s="21">
        <f t="shared" si="15"/>
        <v>325839260</v>
      </c>
      <c r="O50" s="54" t="s">
        <v>12</v>
      </c>
    </row>
    <row r="51" spans="1:15" ht="159" customHeight="1" x14ac:dyDescent="0.25">
      <c r="A51" s="57"/>
      <c r="B51" s="14" t="s">
        <v>79</v>
      </c>
      <c r="C51" s="15">
        <f>SUM(D51:N51)</f>
        <v>3340593757</v>
      </c>
      <c r="D51" s="15">
        <v>317517243</v>
      </c>
      <c r="E51" s="15">
        <v>315521700</v>
      </c>
      <c r="F51" s="15">
        <v>315521700</v>
      </c>
      <c r="G51" s="15">
        <v>286872330</v>
      </c>
      <c r="H51" s="15">
        <v>286462151</v>
      </c>
      <c r="I51" s="15">
        <v>286020421</v>
      </c>
      <c r="J51" s="15">
        <v>285547139</v>
      </c>
      <c r="K51" s="15">
        <v>269613293</v>
      </c>
      <c r="L51" s="15">
        <v>325839260</v>
      </c>
      <c r="M51" s="15">
        <v>325839260</v>
      </c>
      <c r="N51" s="15">
        <v>325839260</v>
      </c>
      <c r="O51" s="55"/>
    </row>
    <row r="52" spans="1:15" ht="92.25" x14ac:dyDescent="0.25">
      <c r="A52" s="51"/>
      <c r="B52" s="20" t="s">
        <v>9</v>
      </c>
      <c r="C52" s="21">
        <f>SUM(D52:N52)</f>
        <v>3862938.66</v>
      </c>
      <c r="D52" s="21">
        <v>3862938.66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56"/>
    </row>
    <row r="53" spans="1:15" ht="61.5" x14ac:dyDescent="0.25">
      <c r="A53" s="36" t="s">
        <v>43</v>
      </c>
      <c r="B53" s="32" t="s">
        <v>28</v>
      </c>
      <c r="C53" s="15">
        <f>SUM(D53:N53)</f>
        <v>81888723867.130005</v>
      </c>
      <c r="D53" s="15">
        <f t="shared" ref="D53:N53" si="16">D54+D55+D56</f>
        <v>7573259341.5600004</v>
      </c>
      <c r="E53" s="15">
        <f t="shared" si="16"/>
        <v>7627093512.8000002</v>
      </c>
      <c r="F53" s="15">
        <f t="shared" si="16"/>
        <v>7648366926.8999996</v>
      </c>
      <c r="G53" s="15">
        <f t="shared" si="16"/>
        <v>7026278270.3100004</v>
      </c>
      <c r="H53" s="15">
        <f t="shared" si="16"/>
        <v>7115232892.8299999</v>
      </c>
      <c r="I53" s="15">
        <f t="shared" si="16"/>
        <v>7123271333.5900002</v>
      </c>
      <c r="J53" s="15">
        <f t="shared" si="16"/>
        <v>7118990756.71</v>
      </c>
      <c r="K53" s="15">
        <f t="shared" si="16"/>
        <v>6783445291.5299997</v>
      </c>
      <c r="L53" s="15">
        <f t="shared" si="16"/>
        <v>7921946420.5100002</v>
      </c>
      <c r="M53" s="15">
        <f t="shared" si="16"/>
        <v>8018820415.4700003</v>
      </c>
      <c r="N53" s="15">
        <f t="shared" si="16"/>
        <v>7932018704.9200001</v>
      </c>
      <c r="O53" s="15" t="s">
        <v>17</v>
      </c>
    </row>
    <row r="54" spans="1:15" ht="166.5" customHeight="1" x14ac:dyDescent="0.25">
      <c r="A54" s="63"/>
      <c r="B54" s="32" t="s">
        <v>79</v>
      </c>
      <c r="C54" s="15">
        <f t="shared" ref="C54" si="17">SUM(D54:N54)</f>
        <v>63335414681.790001</v>
      </c>
      <c r="D54" s="15">
        <f>D51+D36+D40</f>
        <v>6248353901.4099998</v>
      </c>
      <c r="E54" s="15">
        <f t="shared" ref="E54:N54" si="18">E51+E36</f>
        <v>5988819971.6700001</v>
      </c>
      <c r="F54" s="15">
        <f t="shared" si="18"/>
        <v>5978488371.4499998</v>
      </c>
      <c r="G54" s="15">
        <f t="shared" si="18"/>
        <v>5410874147.7200003</v>
      </c>
      <c r="H54" s="15">
        <f t="shared" si="18"/>
        <v>5403337240.1999998</v>
      </c>
      <c r="I54" s="15">
        <f t="shared" si="18"/>
        <v>5395205186.2799997</v>
      </c>
      <c r="J54" s="15">
        <f t="shared" si="18"/>
        <v>5386065871.2799997</v>
      </c>
      <c r="K54" s="15">
        <f t="shared" si="18"/>
        <v>5085428881.7799997</v>
      </c>
      <c r="L54" s="15">
        <f t="shared" si="18"/>
        <v>6146280370</v>
      </c>
      <c r="M54" s="15">
        <f t="shared" si="18"/>
        <v>6146280370</v>
      </c>
      <c r="N54" s="15">
        <f t="shared" si="18"/>
        <v>6146280370</v>
      </c>
      <c r="O54" s="15" t="s">
        <v>17</v>
      </c>
    </row>
    <row r="55" spans="1:15" ht="112.5" customHeight="1" x14ac:dyDescent="0.25">
      <c r="A55" s="63"/>
      <c r="B55" s="32" t="s">
        <v>9</v>
      </c>
      <c r="C55" s="15">
        <f>SUM(D55:N55)</f>
        <v>10633026134.780001</v>
      </c>
      <c r="D55" s="15">
        <f>D41+D37+D52</f>
        <v>834948569.59000003</v>
      </c>
      <c r="E55" s="21">
        <f t="shared" ref="E55:N55" si="19">E41+E37+E52</f>
        <v>895240923.13</v>
      </c>
      <c r="F55" s="21">
        <f t="shared" si="19"/>
        <v>926845937.45000005</v>
      </c>
      <c r="G55" s="21">
        <f t="shared" si="19"/>
        <v>872371504.59000003</v>
      </c>
      <c r="H55" s="21">
        <f t="shared" si="19"/>
        <v>968863034.63</v>
      </c>
      <c r="I55" s="21">
        <f t="shared" si="19"/>
        <v>985033529.30999994</v>
      </c>
      <c r="J55" s="21">
        <f t="shared" si="19"/>
        <v>989892267.42999995</v>
      </c>
      <c r="K55" s="21">
        <f t="shared" si="19"/>
        <v>954983791.75</v>
      </c>
      <c r="L55" s="21">
        <f t="shared" si="19"/>
        <v>1032633432.51</v>
      </c>
      <c r="M55" s="21">
        <f t="shared" si="19"/>
        <v>1129507427.47</v>
      </c>
      <c r="N55" s="21">
        <f t="shared" si="19"/>
        <v>1042705716.92</v>
      </c>
      <c r="O55" s="15" t="s">
        <v>17</v>
      </c>
    </row>
    <row r="56" spans="1:15" ht="217.5" customHeight="1" x14ac:dyDescent="0.25">
      <c r="A56" s="33"/>
      <c r="B56" s="32" t="s">
        <v>10</v>
      </c>
      <c r="C56" s="15">
        <f>SUM(D56:N56)</f>
        <v>7920283050.5600004</v>
      </c>
      <c r="D56" s="15">
        <f t="shared" ref="D56:N56" si="20">D38</f>
        <v>489956870.56</v>
      </c>
      <c r="E56" s="15">
        <f t="shared" si="20"/>
        <v>743032618</v>
      </c>
      <c r="F56" s="15">
        <f t="shared" si="20"/>
        <v>743032618</v>
      </c>
      <c r="G56" s="15">
        <f t="shared" si="20"/>
        <v>743032618</v>
      </c>
      <c r="H56" s="15">
        <f t="shared" si="20"/>
        <v>743032618</v>
      </c>
      <c r="I56" s="15">
        <f t="shared" si="20"/>
        <v>743032618</v>
      </c>
      <c r="J56" s="15">
        <f t="shared" si="20"/>
        <v>743032618</v>
      </c>
      <c r="K56" s="15">
        <f t="shared" si="20"/>
        <v>743032618</v>
      </c>
      <c r="L56" s="15">
        <f t="shared" si="20"/>
        <v>743032618</v>
      </c>
      <c r="M56" s="15">
        <f t="shared" si="20"/>
        <v>743032618</v>
      </c>
      <c r="N56" s="15">
        <f t="shared" si="20"/>
        <v>743032618</v>
      </c>
      <c r="O56" s="15" t="s">
        <v>17</v>
      </c>
    </row>
    <row r="57" spans="1:15" ht="45.6" customHeight="1" x14ac:dyDescent="0.25">
      <c r="A57" s="36" t="s">
        <v>44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s="5" customFormat="1" ht="41.45" customHeight="1" x14ac:dyDescent="0.25">
      <c r="A58" s="40" t="s">
        <v>45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2"/>
    </row>
    <row r="59" spans="1:15" ht="72" customHeight="1" x14ac:dyDescent="0.25">
      <c r="A59" s="49" t="s">
        <v>106</v>
      </c>
      <c r="B59" s="18" t="s">
        <v>28</v>
      </c>
      <c r="C59" s="19">
        <f>C61+C62+C60</f>
        <v>65338186372.629997</v>
      </c>
      <c r="D59" s="21">
        <f t="shared" ref="D59:N59" si="21">D61+D62+D60</f>
        <v>6816284596.9399996</v>
      </c>
      <c r="E59" s="21">
        <f t="shared" si="21"/>
        <v>6247832625.2299995</v>
      </c>
      <c r="F59" s="21">
        <f t="shared" si="21"/>
        <v>6259679910.1400003</v>
      </c>
      <c r="G59" s="21">
        <f t="shared" si="21"/>
        <v>5718844558.4700003</v>
      </c>
      <c r="H59" s="21">
        <f t="shared" si="21"/>
        <v>5494962720.3100004</v>
      </c>
      <c r="I59" s="21">
        <f t="shared" si="21"/>
        <v>5499738004.9899998</v>
      </c>
      <c r="J59" s="21">
        <f t="shared" si="21"/>
        <v>5494801817.4700003</v>
      </c>
      <c r="K59" s="21">
        <f t="shared" si="21"/>
        <v>5556045213.7200003</v>
      </c>
      <c r="L59" s="21">
        <f t="shared" si="21"/>
        <v>5614775857.7299995</v>
      </c>
      <c r="M59" s="21">
        <f t="shared" si="21"/>
        <v>6350076517.04</v>
      </c>
      <c r="N59" s="21">
        <f t="shared" si="21"/>
        <v>6285144550.5900002</v>
      </c>
      <c r="O59" s="54" t="s">
        <v>12</v>
      </c>
    </row>
    <row r="60" spans="1:15" ht="174" customHeight="1" x14ac:dyDescent="0.25">
      <c r="A60" s="58"/>
      <c r="B60" s="20" t="s">
        <v>80</v>
      </c>
      <c r="C60" s="21">
        <f>SUM(D60:N60)</f>
        <v>835330754.37</v>
      </c>
      <c r="D60" s="21">
        <v>110064754.37</v>
      </c>
      <c r="E60" s="21">
        <v>362633000</v>
      </c>
      <c r="F60" s="21">
        <v>362633000</v>
      </c>
      <c r="G60" s="21"/>
      <c r="H60" s="21"/>
      <c r="I60" s="21"/>
      <c r="J60" s="21"/>
      <c r="K60" s="21"/>
      <c r="L60" s="21"/>
      <c r="M60" s="21"/>
      <c r="N60" s="21"/>
      <c r="O60" s="60"/>
    </row>
    <row r="61" spans="1:15" ht="170.25" customHeight="1" x14ac:dyDescent="0.25">
      <c r="A61" s="59"/>
      <c r="B61" s="18" t="s">
        <v>79</v>
      </c>
      <c r="C61" s="19">
        <f>SUM(D61:N61)</f>
        <v>57058794711.389999</v>
      </c>
      <c r="D61" s="19">
        <v>6047764454</v>
      </c>
      <c r="E61" s="19">
        <v>5295729332.7399998</v>
      </c>
      <c r="F61" s="19">
        <v>5306048732.96</v>
      </c>
      <c r="G61" s="19">
        <f>4845969567.76+250354924.66</f>
        <v>5096324492.4200001</v>
      </c>
      <c r="H61" s="19">
        <f>4839941855.79+2517629.87</f>
        <v>4842459485.6599998</v>
      </c>
      <c r="I61" s="19">
        <f>4832299535.02+2756867.06</f>
        <v>4835056402.0799999</v>
      </c>
      <c r="J61" s="19">
        <f>4823491712.81+3111556.71</f>
        <v>4826603269.5200005</v>
      </c>
      <c r="K61" s="19">
        <f>324576398.23+4553663582.83</f>
        <v>4878239981.0600004</v>
      </c>
      <c r="L61" s="19">
        <f>5504628692-583317515.05</f>
        <v>4921311176.9499998</v>
      </c>
      <c r="M61" s="19">
        <v>5504628692</v>
      </c>
      <c r="N61" s="19">
        <v>5504628692</v>
      </c>
      <c r="O61" s="61"/>
    </row>
    <row r="62" spans="1:15" ht="121.5" customHeight="1" x14ac:dyDescent="0.25">
      <c r="A62" s="51"/>
      <c r="B62" s="14" t="s">
        <v>9</v>
      </c>
      <c r="C62" s="15">
        <f>SUM(D62:N62)</f>
        <v>7444060906.8699999</v>
      </c>
      <c r="D62" s="15">
        <v>658455388.57000005</v>
      </c>
      <c r="E62" s="15">
        <v>589470292.49000001</v>
      </c>
      <c r="F62" s="15">
        <v>590998177.17999995</v>
      </c>
      <c r="G62" s="29">
        <f>623386812.19-866746.14</f>
        <v>622520066.04999995</v>
      </c>
      <c r="H62" s="15">
        <f>691349833.99-38846599.34</f>
        <v>652503234.64999998</v>
      </c>
      <c r="I62" s="15">
        <f>703501620.34-38820017.43</f>
        <v>664681602.90999997</v>
      </c>
      <c r="J62" s="15">
        <f>706979155.43-38780607.48</f>
        <v>668198547.95000005</v>
      </c>
      <c r="K62" s="15">
        <f>680867702.53-3062469.87</f>
        <v>677805232.65999997</v>
      </c>
      <c r="L62" s="15">
        <f>772950114-79485433.22</f>
        <v>693464680.77999997</v>
      </c>
      <c r="M62" s="15">
        <v>845447825.03999996</v>
      </c>
      <c r="N62" s="15">
        <v>780515858.59000003</v>
      </c>
      <c r="O62" s="62"/>
    </row>
    <row r="63" spans="1:15" ht="75" customHeight="1" x14ac:dyDescent="0.25">
      <c r="A63" s="36" t="s">
        <v>48</v>
      </c>
      <c r="B63" s="14" t="s">
        <v>28</v>
      </c>
      <c r="C63" s="15">
        <f>C65+C66+C64</f>
        <v>65333182412.629997</v>
      </c>
      <c r="D63" s="21">
        <f t="shared" ref="D63:N63" si="22">D65+D66+D64</f>
        <v>6811284236.9399996</v>
      </c>
      <c r="E63" s="21">
        <f t="shared" si="22"/>
        <v>6247832265.2299995</v>
      </c>
      <c r="F63" s="21">
        <f t="shared" si="22"/>
        <v>6259679550.1400003</v>
      </c>
      <c r="G63" s="21">
        <f t="shared" si="22"/>
        <v>5718844198.4700003</v>
      </c>
      <c r="H63" s="21">
        <f t="shared" si="22"/>
        <v>5494962360.3100004</v>
      </c>
      <c r="I63" s="21">
        <f t="shared" si="22"/>
        <v>5499737644.9899998</v>
      </c>
      <c r="J63" s="21">
        <f t="shared" si="22"/>
        <v>5494801457.4700003</v>
      </c>
      <c r="K63" s="21">
        <f t="shared" si="22"/>
        <v>5556044853.7200003</v>
      </c>
      <c r="L63" s="21">
        <f t="shared" si="22"/>
        <v>5614775497.7299995</v>
      </c>
      <c r="M63" s="21">
        <f t="shared" si="22"/>
        <v>6350076157.04</v>
      </c>
      <c r="N63" s="21">
        <f t="shared" si="22"/>
        <v>6285144190.5900002</v>
      </c>
      <c r="O63" s="38" t="s">
        <v>12</v>
      </c>
    </row>
    <row r="64" spans="1:15" ht="171" customHeight="1" x14ac:dyDescent="0.25">
      <c r="A64" s="36"/>
      <c r="B64" s="20" t="s">
        <v>80</v>
      </c>
      <c r="C64" s="21">
        <f>SUM(D64:N64)</f>
        <v>835330754.37</v>
      </c>
      <c r="D64" s="21">
        <f>D60</f>
        <v>110064754.37</v>
      </c>
      <c r="E64" s="21">
        <f t="shared" ref="E64:F64" si="23">E60</f>
        <v>362633000</v>
      </c>
      <c r="F64" s="21">
        <f t="shared" si="23"/>
        <v>362633000</v>
      </c>
      <c r="G64" s="21"/>
      <c r="H64" s="21"/>
      <c r="I64" s="21"/>
      <c r="J64" s="21"/>
      <c r="K64" s="21"/>
      <c r="L64" s="21"/>
      <c r="M64" s="21"/>
      <c r="N64" s="21"/>
      <c r="O64" s="38"/>
    </row>
    <row r="65" spans="1:15" ht="174" customHeight="1" x14ac:dyDescent="0.25">
      <c r="A65" s="37"/>
      <c r="B65" s="14" t="s">
        <v>79</v>
      </c>
      <c r="C65" s="15">
        <f>SUM(D65:N65)</f>
        <v>57058794711.389999</v>
      </c>
      <c r="D65" s="21">
        <f t="shared" ref="D65:F65" si="24">D61</f>
        <v>6047764454</v>
      </c>
      <c r="E65" s="21">
        <f t="shared" si="24"/>
        <v>5295729332.7399998</v>
      </c>
      <c r="F65" s="21">
        <f t="shared" si="24"/>
        <v>5306048732.96</v>
      </c>
      <c r="G65" s="15">
        <f t="shared" ref="G65:N65" si="25">G61</f>
        <v>5096324492.4200001</v>
      </c>
      <c r="H65" s="15">
        <f t="shared" si="25"/>
        <v>4842459485.6599998</v>
      </c>
      <c r="I65" s="15">
        <f t="shared" si="25"/>
        <v>4835056402.0799999</v>
      </c>
      <c r="J65" s="15">
        <f t="shared" si="25"/>
        <v>4826603269.5200005</v>
      </c>
      <c r="K65" s="15">
        <f t="shared" si="25"/>
        <v>4878239981.0600004</v>
      </c>
      <c r="L65" s="15">
        <f t="shared" si="25"/>
        <v>4921311176.9499998</v>
      </c>
      <c r="M65" s="15">
        <f t="shared" si="25"/>
        <v>5504628692</v>
      </c>
      <c r="N65" s="15">
        <f t="shared" si="25"/>
        <v>5504628692</v>
      </c>
      <c r="O65" s="39"/>
    </row>
    <row r="66" spans="1:15" ht="140.25" customHeight="1" x14ac:dyDescent="0.25">
      <c r="A66" s="37"/>
      <c r="B66" s="14" t="s">
        <v>9</v>
      </c>
      <c r="C66" s="15">
        <f>SUM(D66:N66)</f>
        <v>7439056946.8699999</v>
      </c>
      <c r="D66" s="21">
        <f>D62-D68-D70</f>
        <v>653455028.57000005</v>
      </c>
      <c r="E66" s="21">
        <f t="shared" ref="E66:N66" si="26">E62-E68-E70</f>
        <v>589469932.49000001</v>
      </c>
      <c r="F66" s="21">
        <f t="shared" si="26"/>
        <v>590997817.17999995</v>
      </c>
      <c r="G66" s="21">
        <f t="shared" si="26"/>
        <v>622519706.04999995</v>
      </c>
      <c r="H66" s="21">
        <f t="shared" si="26"/>
        <v>652502874.64999998</v>
      </c>
      <c r="I66" s="21">
        <f t="shared" si="26"/>
        <v>664681242.90999997</v>
      </c>
      <c r="J66" s="21">
        <f t="shared" si="26"/>
        <v>668198187.95000005</v>
      </c>
      <c r="K66" s="21">
        <f t="shared" si="26"/>
        <v>677804872.65999997</v>
      </c>
      <c r="L66" s="21">
        <f t="shared" si="26"/>
        <v>693464320.77999997</v>
      </c>
      <c r="M66" s="21">
        <f t="shared" si="26"/>
        <v>845447465.03999996</v>
      </c>
      <c r="N66" s="21">
        <f t="shared" si="26"/>
        <v>780515498.59000003</v>
      </c>
      <c r="O66" s="39"/>
    </row>
    <row r="67" spans="1:15" ht="78.599999999999994" customHeight="1" x14ac:dyDescent="0.25">
      <c r="A67" s="36" t="s">
        <v>52</v>
      </c>
      <c r="B67" s="14" t="s">
        <v>28</v>
      </c>
      <c r="C67" s="15">
        <f t="shared" ref="C67:N69" si="27">C68</f>
        <v>3960</v>
      </c>
      <c r="D67" s="15">
        <f t="shared" si="27"/>
        <v>360</v>
      </c>
      <c r="E67" s="15">
        <f t="shared" si="27"/>
        <v>360</v>
      </c>
      <c r="F67" s="15">
        <f t="shared" si="27"/>
        <v>360</v>
      </c>
      <c r="G67" s="15">
        <f t="shared" si="27"/>
        <v>360</v>
      </c>
      <c r="H67" s="15">
        <f t="shared" si="27"/>
        <v>360</v>
      </c>
      <c r="I67" s="15">
        <f t="shared" si="27"/>
        <v>360</v>
      </c>
      <c r="J67" s="15">
        <f t="shared" si="27"/>
        <v>360</v>
      </c>
      <c r="K67" s="15">
        <f t="shared" si="27"/>
        <v>360</v>
      </c>
      <c r="L67" s="15">
        <f t="shared" si="27"/>
        <v>360</v>
      </c>
      <c r="M67" s="15">
        <f t="shared" si="27"/>
        <v>360</v>
      </c>
      <c r="N67" s="15">
        <f t="shared" si="27"/>
        <v>360</v>
      </c>
      <c r="O67" s="38" t="s">
        <v>12</v>
      </c>
    </row>
    <row r="68" spans="1:15" ht="136.5" customHeight="1" x14ac:dyDescent="0.25">
      <c r="A68" s="37"/>
      <c r="B68" s="14" t="s">
        <v>9</v>
      </c>
      <c r="C68" s="15">
        <f>SUM(D68:N68)</f>
        <v>3960</v>
      </c>
      <c r="D68" s="15">
        <v>360</v>
      </c>
      <c r="E68" s="15">
        <v>360</v>
      </c>
      <c r="F68" s="15">
        <v>360</v>
      </c>
      <c r="G68" s="15">
        <v>360</v>
      </c>
      <c r="H68" s="15">
        <v>360</v>
      </c>
      <c r="I68" s="15">
        <v>360</v>
      </c>
      <c r="J68" s="15">
        <v>360</v>
      </c>
      <c r="K68" s="15">
        <v>360</v>
      </c>
      <c r="L68" s="15">
        <v>360</v>
      </c>
      <c r="M68" s="15">
        <v>360</v>
      </c>
      <c r="N68" s="15">
        <v>360</v>
      </c>
      <c r="O68" s="39"/>
    </row>
    <row r="69" spans="1:15" ht="142.9" customHeight="1" x14ac:dyDescent="0.25">
      <c r="A69" s="36" t="s">
        <v>94</v>
      </c>
      <c r="B69" s="32" t="s">
        <v>28</v>
      </c>
      <c r="C69" s="34">
        <f t="shared" si="27"/>
        <v>5000000</v>
      </c>
      <c r="D69" s="34">
        <f t="shared" si="27"/>
        <v>5000000</v>
      </c>
      <c r="E69" s="21">
        <f t="shared" si="27"/>
        <v>0</v>
      </c>
      <c r="F69" s="21">
        <f t="shared" si="27"/>
        <v>0</v>
      </c>
      <c r="G69" s="21">
        <f t="shared" si="27"/>
        <v>0</v>
      </c>
      <c r="H69" s="21">
        <f t="shared" si="27"/>
        <v>0</v>
      </c>
      <c r="I69" s="21">
        <f t="shared" si="27"/>
        <v>0</v>
      </c>
      <c r="J69" s="21">
        <f t="shared" si="27"/>
        <v>0</v>
      </c>
      <c r="K69" s="21">
        <f t="shared" si="27"/>
        <v>0</v>
      </c>
      <c r="L69" s="21">
        <f t="shared" si="27"/>
        <v>0</v>
      </c>
      <c r="M69" s="21">
        <f t="shared" si="27"/>
        <v>0</v>
      </c>
      <c r="N69" s="21">
        <f t="shared" si="27"/>
        <v>0</v>
      </c>
      <c r="O69" s="38" t="s">
        <v>12</v>
      </c>
    </row>
    <row r="70" spans="1:15" ht="255" customHeight="1" x14ac:dyDescent="0.25">
      <c r="A70" s="37"/>
      <c r="B70" s="32" t="s">
        <v>9</v>
      </c>
      <c r="C70" s="34">
        <f>SUM(D70:N70)</f>
        <v>5000000</v>
      </c>
      <c r="D70" s="34">
        <v>5000000</v>
      </c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39"/>
    </row>
    <row r="71" spans="1:15" ht="66" customHeight="1" x14ac:dyDescent="0.25">
      <c r="A71" s="36" t="s">
        <v>107</v>
      </c>
      <c r="B71" s="32" t="s">
        <v>28</v>
      </c>
      <c r="C71" s="34">
        <f t="shared" ref="C71:N71" si="28">C72+C73</f>
        <v>689875680</v>
      </c>
      <c r="D71" s="34">
        <f t="shared" si="28"/>
        <v>63344244</v>
      </c>
      <c r="E71" s="15">
        <f t="shared" si="28"/>
        <v>66361927</v>
      </c>
      <c r="F71" s="15">
        <f t="shared" si="28"/>
        <v>66385035</v>
      </c>
      <c r="G71" s="15">
        <f t="shared" si="28"/>
        <v>58659944</v>
      </c>
      <c r="H71" s="15">
        <f t="shared" si="28"/>
        <v>59121649</v>
      </c>
      <c r="I71" s="15">
        <f t="shared" si="28"/>
        <v>59129086</v>
      </c>
      <c r="J71" s="15">
        <f t="shared" si="28"/>
        <v>59067465</v>
      </c>
      <c r="K71" s="15">
        <f t="shared" si="28"/>
        <v>55913648</v>
      </c>
      <c r="L71" s="15">
        <f t="shared" si="28"/>
        <v>67074656</v>
      </c>
      <c r="M71" s="15">
        <f t="shared" si="28"/>
        <v>67626409</v>
      </c>
      <c r="N71" s="15">
        <f t="shared" si="28"/>
        <v>67191617</v>
      </c>
      <c r="O71" s="38" t="s">
        <v>12</v>
      </c>
    </row>
    <row r="72" spans="1:15" ht="162" customHeight="1" x14ac:dyDescent="0.25">
      <c r="A72" s="37"/>
      <c r="B72" s="32" t="s">
        <v>79</v>
      </c>
      <c r="C72" s="34">
        <f>SUM(D72:N72)</f>
        <v>631898239</v>
      </c>
      <c r="D72" s="34">
        <v>59082411</v>
      </c>
      <c r="E72" s="15">
        <v>62147300</v>
      </c>
      <c r="F72" s="15">
        <v>62147300</v>
      </c>
      <c r="G72" s="15">
        <v>53790363</v>
      </c>
      <c r="H72" s="15">
        <v>53713452</v>
      </c>
      <c r="I72" s="15">
        <v>53630625</v>
      </c>
      <c r="J72" s="15">
        <v>53541882</v>
      </c>
      <c r="K72" s="15">
        <v>50554185</v>
      </c>
      <c r="L72" s="15">
        <v>61096907</v>
      </c>
      <c r="M72" s="15">
        <v>61096907</v>
      </c>
      <c r="N72" s="15">
        <v>61096907</v>
      </c>
      <c r="O72" s="39"/>
    </row>
    <row r="73" spans="1:15" ht="100.5" customHeight="1" x14ac:dyDescent="0.25">
      <c r="A73" s="37"/>
      <c r="B73" s="32" t="s">
        <v>9</v>
      </c>
      <c r="C73" s="34">
        <f>SUM(D73:N73)</f>
        <v>57977441</v>
      </c>
      <c r="D73" s="34">
        <v>4261833</v>
      </c>
      <c r="E73" s="15">
        <v>4214627</v>
      </c>
      <c r="F73" s="15">
        <v>4237735</v>
      </c>
      <c r="G73" s="15">
        <f>4869581</f>
        <v>4869581</v>
      </c>
      <c r="H73" s="15">
        <v>5408197</v>
      </c>
      <c r="I73" s="15">
        <v>5498461</v>
      </c>
      <c r="J73" s="15">
        <v>5525583</v>
      </c>
      <c r="K73" s="15">
        <v>5359463</v>
      </c>
      <c r="L73" s="15">
        <v>5977749</v>
      </c>
      <c r="M73" s="15">
        <v>6529502</v>
      </c>
      <c r="N73" s="15">
        <v>6094710</v>
      </c>
      <c r="O73" s="39"/>
    </row>
    <row r="74" spans="1:15" ht="95.45" customHeight="1" x14ac:dyDescent="0.25">
      <c r="A74" s="36" t="s">
        <v>53</v>
      </c>
      <c r="B74" s="14" t="s">
        <v>6</v>
      </c>
      <c r="C74" s="15">
        <f>C76+C77+C75</f>
        <v>8937050240.7999992</v>
      </c>
      <c r="D74" s="28">
        <f t="shared" ref="D74:N74" si="29">D76+D77+D75</f>
        <v>837189319.79999995</v>
      </c>
      <c r="E74" s="28">
        <f t="shared" si="29"/>
        <v>981745616</v>
      </c>
      <c r="F74" s="28">
        <f t="shared" si="29"/>
        <v>981862325</v>
      </c>
      <c r="G74" s="28">
        <f t="shared" si="29"/>
        <v>703971887</v>
      </c>
      <c r="H74" s="28">
        <f t="shared" si="29"/>
        <v>740050430</v>
      </c>
      <c r="I74" s="28">
        <f t="shared" si="29"/>
        <v>745611704</v>
      </c>
      <c r="J74" s="28">
        <f t="shared" si="29"/>
        <v>746839936</v>
      </c>
      <c r="K74" s="28">
        <f t="shared" si="29"/>
        <v>712850494</v>
      </c>
      <c r="L74" s="28">
        <f t="shared" si="29"/>
        <v>815441707</v>
      </c>
      <c r="M74" s="28">
        <f t="shared" si="29"/>
        <v>852223384</v>
      </c>
      <c r="N74" s="28">
        <f t="shared" si="29"/>
        <v>819263438</v>
      </c>
      <c r="O74" s="38" t="s">
        <v>12</v>
      </c>
    </row>
    <row r="75" spans="1:15" ht="153.75" x14ac:dyDescent="0.25">
      <c r="A75" s="36"/>
      <c r="B75" s="27" t="s">
        <v>80</v>
      </c>
      <c r="C75" s="28">
        <f>SUM(D75:N75)</f>
        <v>20994118.09</v>
      </c>
      <c r="D75" s="28">
        <v>20994118.09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38"/>
    </row>
    <row r="76" spans="1:15" ht="162" customHeight="1" x14ac:dyDescent="0.25">
      <c r="A76" s="46"/>
      <c r="B76" s="14" t="s">
        <v>79</v>
      </c>
      <c r="C76" s="15">
        <f>SUM(D76:N76)</f>
        <v>5023450939</v>
      </c>
      <c r="D76" s="15">
        <v>525913760</v>
      </c>
      <c r="E76" s="15">
        <v>693807080</v>
      </c>
      <c r="F76" s="15">
        <v>693807080</v>
      </c>
      <c r="G76" s="15">
        <v>372967605</v>
      </c>
      <c r="H76" s="15">
        <v>372434326</v>
      </c>
      <c r="I76" s="15">
        <v>371860024</v>
      </c>
      <c r="J76" s="15">
        <v>371244702</v>
      </c>
      <c r="K76" s="15">
        <v>350528837</v>
      </c>
      <c r="L76" s="15">
        <v>423629175</v>
      </c>
      <c r="M76" s="15">
        <v>423629175</v>
      </c>
      <c r="N76" s="15">
        <v>423629175</v>
      </c>
      <c r="O76" s="46"/>
    </row>
    <row r="77" spans="1:15" ht="106.15" customHeight="1" x14ac:dyDescent="0.25">
      <c r="A77" s="46"/>
      <c r="B77" s="14" t="s">
        <v>9</v>
      </c>
      <c r="C77" s="15">
        <f>SUM(D77:N77)</f>
        <v>3892605183.71</v>
      </c>
      <c r="D77" s="15">
        <v>290281441.70999998</v>
      </c>
      <c r="E77" s="15">
        <v>287938536</v>
      </c>
      <c r="F77" s="15">
        <v>288055245</v>
      </c>
      <c r="G77" s="15">
        <f>331004282</f>
        <v>331004282</v>
      </c>
      <c r="H77" s="15">
        <v>367616104</v>
      </c>
      <c r="I77" s="15">
        <v>373751680</v>
      </c>
      <c r="J77" s="15">
        <v>375595234</v>
      </c>
      <c r="K77" s="15">
        <v>362321657</v>
      </c>
      <c r="L77" s="15">
        <v>391812532</v>
      </c>
      <c r="M77" s="15">
        <v>428594209</v>
      </c>
      <c r="N77" s="15">
        <v>395634263</v>
      </c>
      <c r="O77" s="46"/>
    </row>
    <row r="78" spans="1:15" ht="85.9" customHeight="1" x14ac:dyDescent="0.25">
      <c r="A78" s="36" t="s">
        <v>108</v>
      </c>
      <c r="B78" s="14" t="s">
        <v>6</v>
      </c>
      <c r="C78" s="15">
        <f t="shared" ref="C78:N78" si="30">C79</f>
        <v>2383607536.6500001</v>
      </c>
      <c r="D78" s="15">
        <f t="shared" si="30"/>
        <v>207390965.02000001</v>
      </c>
      <c r="E78" s="15">
        <f t="shared" si="30"/>
        <v>187690927.91</v>
      </c>
      <c r="F78" s="15">
        <f t="shared" si="30"/>
        <v>174776718.72</v>
      </c>
      <c r="G78" s="15">
        <f t="shared" si="30"/>
        <v>198378455</v>
      </c>
      <c r="H78" s="15">
        <f t="shared" si="30"/>
        <v>220320759</v>
      </c>
      <c r="I78" s="15">
        <f t="shared" si="30"/>
        <v>223997950</v>
      </c>
      <c r="J78" s="15">
        <f t="shared" si="30"/>
        <v>225102834</v>
      </c>
      <c r="K78" s="15">
        <f t="shared" si="30"/>
        <v>217147675</v>
      </c>
      <c r="L78" s="15">
        <f t="shared" si="30"/>
        <v>234822233</v>
      </c>
      <c r="M78" s="15">
        <f t="shared" si="30"/>
        <v>256866335</v>
      </c>
      <c r="N78" s="15">
        <f t="shared" si="30"/>
        <v>237112684</v>
      </c>
      <c r="O78" s="38" t="s">
        <v>15</v>
      </c>
    </row>
    <row r="79" spans="1:15" ht="211.9" customHeight="1" x14ac:dyDescent="0.25">
      <c r="A79" s="37"/>
      <c r="B79" s="14" t="s">
        <v>9</v>
      </c>
      <c r="C79" s="15">
        <f>SUM(D79:N79)</f>
        <v>2383607536.6500001</v>
      </c>
      <c r="D79" s="15">
        <f t="shared" ref="D79:N79" si="31">D81+D83+D85</f>
        <v>207390965.02000001</v>
      </c>
      <c r="E79" s="15">
        <f t="shared" si="31"/>
        <v>187690927.91</v>
      </c>
      <c r="F79" s="15">
        <f t="shared" si="31"/>
        <v>174776718.72</v>
      </c>
      <c r="G79" s="15">
        <f t="shared" si="31"/>
        <v>198378455</v>
      </c>
      <c r="H79" s="15">
        <f t="shared" si="31"/>
        <v>220320759</v>
      </c>
      <c r="I79" s="15">
        <f t="shared" si="31"/>
        <v>223997950</v>
      </c>
      <c r="J79" s="15">
        <f t="shared" si="31"/>
        <v>225102834</v>
      </c>
      <c r="K79" s="15">
        <f t="shared" si="31"/>
        <v>217147675</v>
      </c>
      <c r="L79" s="15">
        <f t="shared" si="31"/>
        <v>234822233</v>
      </c>
      <c r="M79" s="15">
        <f t="shared" si="31"/>
        <v>256866335</v>
      </c>
      <c r="N79" s="15">
        <f t="shared" si="31"/>
        <v>237112684</v>
      </c>
      <c r="O79" s="39"/>
    </row>
    <row r="80" spans="1:15" ht="93" customHeight="1" x14ac:dyDescent="0.25">
      <c r="A80" s="36" t="s">
        <v>54</v>
      </c>
      <c r="B80" s="14" t="s">
        <v>6</v>
      </c>
      <c r="C80" s="15">
        <f t="shared" ref="C80:N80" si="32">C81</f>
        <v>2324743925.6799998</v>
      </c>
      <c r="D80" s="15">
        <f t="shared" si="32"/>
        <v>160860734.63999999</v>
      </c>
      <c r="E80" s="15">
        <f t="shared" si="32"/>
        <v>175357547.31999999</v>
      </c>
      <c r="F80" s="15">
        <f t="shared" si="32"/>
        <v>174776718.72</v>
      </c>
      <c r="G80" s="15">
        <f t="shared" si="32"/>
        <v>198378455</v>
      </c>
      <c r="H80" s="15">
        <f t="shared" si="32"/>
        <v>220320759</v>
      </c>
      <c r="I80" s="15">
        <f t="shared" si="32"/>
        <v>223997950</v>
      </c>
      <c r="J80" s="15">
        <f t="shared" si="32"/>
        <v>225102834</v>
      </c>
      <c r="K80" s="15">
        <f t="shared" si="32"/>
        <v>217147675</v>
      </c>
      <c r="L80" s="15">
        <f t="shared" si="32"/>
        <v>234822233</v>
      </c>
      <c r="M80" s="15">
        <f t="shared" si="32"/>
        <v>256866335</v>
      </c>
      <c r="N80" s="15">
        <f t="shared" si="32"/>
        <v>237112684</v>
      </c>
      <c r="O80" s="38" t="s">
        <v>15</v>
      </c>
    </row>
    <row r="81" spans="1:15" ht="136.5" customHeight="1" x14ac:dyDescent="0.25">
      <c r="A81" s="37"/>
      <c r="B81" s="14" t="s">
        <v>9</v>
      </c>
      <c r="C81" s="15">
        <f>SUM(D81:N81)</f>
        <v>2324743925.6799998</v>
      </c>
      <c r="D81" s="15">
        <v>160860734.63999999</v>
      </c>
      <c r="E81" s="15">
        <v>175357547.31999999</v>
      </c>
      <c r="F81" s="15">
        <v>174776718.72</v>
      </c>
      <c r="G81" s="15">
        <f>198378455</f>
        <v>198378455</v>
      </c>
      <c r="H81" s="15">
        <v>220320759</v>
      </c>
      <c r="I81" s="15">
        <v>223997950</v>
      </c>
      <c r="J81" s="15">
        <v>225102834</v>
      </c>
      <c r="K81" s="15">
        <v>217147675</v>
      </c>
      <c r="L81" s="15">
        <v>234822233</v>
      </c>
      <c r="M81" s="15">
        <v>256866335</v>
      </c>
      <c r="N81" s="15">
        <v>237112684</v>
      </c>
      <c r="O81" s="39"/>
    </row>
    <row r="82" spans="1:15" ht="72" customHeight="1" x14ac:dyDescent="0.25">
      <c r="A82" s="36" t="s">
        <v>55</v>
      </c>
      <c r="B82" s="14" t="s">
        <v>6</v>
      </c>
      <c r="C82" s="15">
        <f t="shared" ref="C82:N82" si="33">C83</f>
        <v>38375438.600000001</v>
      </c>
      <c r="D82" s="15">
        <f t="shared" si="33"/>
        <v>31784668.989999998</v>
      </c>
      <c r="E82" s="15">
        <f t="shared" si="33"/>
        <v>6590769.6100000003</v>
      </c>
      <c r="F82" s="15">
        <f t="shared" si="33"/>
        <v>0</v>
      </c>
      <c r="G82" s="15">
        <f t="shared" si="33"/>
        <v>0</v>
      </c>
      <c r="H82" s="15">
        <f t="shared" si="33"/>
        <v>0</v>
      </c>
      <c r="I82" s="15">
        <f t="shared" si="33"/>
        <v>0</v>
      </c>
      <c r="J82" s="15">
        <f t="shared" si="33"/>
        <v>0</v>
      </c>
      <c r="K82" s="15">
        <f t="shared" si="33"/>
        <v>0</v>
      </c>
      <c r="L82" s="15">
        <f t="shared" si="33"/>
        <v>0</v>
      </c>
      <c r="M82" s="15">
        <f t="shared" si="33"/>
        <v>0</v>
      </c>
      <c r="N82" s="15">
        <f t="shared" si="33"/>
        <v>0</v>
      </c>
      <c r="O82" s="38" t="s">
        <v>15</v>
      </c>
    </row>
    <row r="83" spans="1:15" ht="214.5" customHeight="1" x14ac:dyDescent="0.25">
      <c r="A83" s="37"/>
      <c r="B83" s="14" t="s">
        <v>9</v>
      </c>
      <c r="C83" s="15">
        <f>SUM(D83:N83)</f>
        <v>38375438.600000001</v>
      </c>
      <c r="D83" s="15">
        <v>31784668.989999998</v>
      </c>
      <c r="E83" s="15">
        <v>6590769.6100000003</v>
      </c>
      <c r="F83" s="15">
        <v>0</v>
      </c>
      <c r="G83" s="15"/>
      <c r="H83" s="15"/>
      <c r="I83" s="15"/>
      <c r="J83" s="15"/>
      <c r="K83" s="15"/>
      <c r="L83" s="15"/>
      <c r="M83" s="15"/>
      <c r="N83" s="15"/>
      <c r="O83" s="39"/>
    </row>
    <row r="84" spans="1:15" ht="88.5" customHeight="1" x14ac:dyDescent="0.25">
      <c r="A84" s="36" t="s">
        <v>56</v>
      </c>
      <c r="B84" s="14" t="s">
        <v>28</v>
      </c>
      <c r="C84" s="15">
        <f t="shared" ref="C84:N84" si="34">C85</f>
        <v>20488172.370000001</v>
      </c>
      <c r="D84" s="15">
        <f t="shared" si="34"/>
        <v>14745561.390000001</v>
      </c>
      <c r="E84" s="15">
        <f t="shared" si="34"/>
        <v>5742610.9800000004</v>
      </c>
      <c r="F84" s="15">
        <f t="shared" si="34"/>
        <v>0</v>
      </c>
      <c r="G84" s="15">
        <f t="shared" si="34"/>
        <v>0</v>
      </c>
      <c r="H84" s="15">
        <f t="shared" si="34"/>
        <v>0</v>
      </c>
      <c r="I84" s="15">
        <f t="shared" si="34"/>
        <v>0</v>
      </c>
      <c r="J84" s="15">
        <f t="shared" si="34"/>
        <v>0</v>
      </c>
      <c r="K84" s="15">
        <f t="shared" si="34"/>
        <v>0</v>
      </c>
      <c r="L84" s="15">
        <f t="shared" si="34"/>
        <v>0</v>
      </c>
      <c r="M84" s="15">
        <f t="shared" si="34"/>
        <v>0</v>
      </c>
      <c r="N84" s="15">
        <f t="shared" si="34"/>
        <v>0</v>
      </c>
      <c r="O84" s="38" t="s">
        <v>15</v>
      </c>
    </row>
    <row r="85" spans="1:15" ht="208.5" customHeight="1" x14ac:dyDescent="0.25">
      <c r="A85" s="37"/>
      <c r="B85" s="14" t="s">
        <v>9</v>
      </c>
      <c r="C85" s="15">
        <f>SUM(D85:N85)</f>
        <v>20488172.370000001</v>
      </c>
      <c r="D85" s="15">
        <v>14745561.390000001</v>
      </c>
      <c r="E85" s="15">
        <v>5742610.9800000004</v>
      </c>
      <c r="F85" s="15"/>
      <c r="G85" s="15"/>
      <c r="H85" s="15"/>
      <c r="I85" s="15"/>
      <c r="J85" s="15"/>
      <c r="K85" s="15"/>
      <c r="L85" s="15"/>
      <c r="M85" s="15"/>
      <c r="N85" s="15"/>
      <c r="O85" s="39"/>
    </row>
    <row r="86" spans="1:15" s="5" customFormat="1" ht="51" customHeight="1" x14ac:dyDescent="0.25">
      <c r="A86" s="40" t="s">
        <v>46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2"/>
    </row>
    <row r="87" spans="1:15" ht="73.5" customHeight="1" x14ac:dyDescent="0.25">
      <c r="A87" s="36" t="s">
        <v>109</v>
      </c>
      <c r="B87" s="14" t="s">
        <v>6</v>
      </c>
      <c r="C87" s="15">
        <f>C88</f>
        <v>106339426.22</v>
      </c>
      <c r="D87" s="15">
        <f t="shared" ref="D87:N87" si="35">D88</f>
        <v>38807433.299999997</v>
      </c>
      <c r="E87" s="15">
        <f t="shared" si="35"/>
        <v>67531992.920000002</v>
      </c>
      <c r="F87" s="15">
        <f t="shared" si="35"/>
        <v>0</v>
      </c>
      <c r="G87" s="15">
        <f t="shared" si="35"/>
        <v>0</v>
      </c>
      <c r="H87" s="15">
        <f t="shared" si="35"/>
        <v>0</v>
      </c>
      <c r="I87" s="15">
        <f t="shared" si="35"/>
        <v>0</v>
      </c>
      <c r="J87" s="15">
        <f t="shared" si="35"/>
        <v>0</v>
      </c>
      <c r="K87" s="15">
        <f t="shared" si="35"/>
        <v>0</v>
      </c>
      <c r="L87" s="15">
        <f t="shared" si="35"/>
        <v>0</v>
      </c>
      <c r="M87" s="15">
        <f t="shared" si="35"/>
        <v>0</v>
      </c>
      <c r="N87" s="15">
        <f t="shared" si="35"/>
        <v>0</v>
      </c>
      <c r="O87" s="38" t="s">
        <v>18</v>
      </c>
    </row>
    <row r="88" spans="1:15" ht="143.25" customHeight="1" x14ac:dyDescent="0.25">
      <c r="A88" s="37"/>
      <c r="B88" s="14" t="s">
        <v>9</v>
      </c>
      <c r="C88" s="15">
        <f>SUM(D88:N88)</f>
        <v>106339426.22</v>
      </c>
      <c r="D88" s="15">
        <f>D90</f>
        <v>38807433.299999997</v>
      </c>
      <c r="E88" s="15">
        <f>E90</f>
        <v>67531992.920000002</v>
      </c>
      <c r="F88" s="15">
        <f>F90</f>
        <v>0</v>
      </c>
      <c r="G88" s="15"/>
      <c r="H88" s="15"/>
      <c r="I88" s="15"/>
      <c r="J88" s="15"/>
      <c r="K88" s="15"/>
      <c r="L88" s="15"/>
      <c r="M88" s="15"/>
      <c r="N88" s="15"/>
      <c r="O88" s="39"/>
    </row>
    <row r="89" spans="1:15" ht="101.45" customHeight="1" x14ac:dyDescent="0.25">
      <c r="A89" s="36" t="s">
        <v>71</v>
      </c>
      <c r="B89" s="14" t="s">
        <v>6</v>
      </c>
      <c r="C89" s="15">
        <f>C90</f>
        <v>106339426.22</v>
      </c>
      <c r="D89" s="15">
        <f t="shared" ref="D89:N89" si="36">D90</f>
        <v>38807433.299999997</v>
      </c>
      <c r="E89" s="15">
        <f t="shared" si="36"/>
        <v>67531992.920000002</v>
      </c>
      <c r="F89" s="15">
        <f t="shared" si="36"/>
        <v>0</v>
      </c>
      <c r="G89" s="15">
        <f t="shared" si="36"/>
        <v>0</v>
      </c>
      <c r="H89" s="15">
        <f t="shared" si="36"/>
        <v>0</v>
      </c>
      <c r="I89" s="15">
        <f t="shared" si="36"/>
        <v>0</v>
      </c>
      <c r="J89" s="15">
        <f t="shared" si="36"/>
        <v>0</v>
      </c>
      <c r="K89" s="15">
        <f t="shared" si="36"/>
        <v>0</v>
      </c>
      <c r="L89" s="15">
        <f t="shared" si="36"/>
        <v>0</v>
      </c>
      <c r="M89" s="15">
        <f t="shared" si="36"/>
        <v>0</v>
      </c>
      <c r="N89" s="15">
        <f t="shared" si="36"/>
        <v>0</v>
      </c>
      <c r="O89" s="38" t="s">
        <v>18</v>
      </c>
    </row>
    <row r="90" spans="1:15" ht="117" customHeight="1" x14ac:dyDescent="0.25">
      <c r="A90" s="37"/>
      <c r="B90" s="14" t="s">
        <v>9</v>
      </c>
      <c r="C90" s="15">
        <f>SUM(D90:N90)</f>
        <v>106339426.22</v>
      </c>
      <c r="D90" s="15">
        <v>38807433.299999997</v>
      </c>
      <c r="E90" s="15">
        <v>67531992.920000002</v>
      </c>
      <c r="F90" s="15"/>
      <c r="G90" s="15"/>
      <c r="H90" s="15"/>
      <c r="I90" s="15"/>
      <c r="J90" s="15"/>
      <c r="K90" s="15"/>
      <c r="L90" s="15"/>
      <c r="M90" s="15"/>
      <c r="N90" s="15"/>
      <c r="O90" s="39"/>
    </row>
    <row r="91" spans="1:15" ht="108" customHeight="1" x14ac:dyDescent="0.25">
      <c r="A91" s="52" t="s">
        <v>110</v>
      </c>
      <c r="B91" s="14" t="s">
        <v>6</v>
      </c>
      <c r="C91" s="15">
        <f>C92+C93+C94</f>
        <v>16090589511.67</v>
      </c>
      <c r="D91" s="15">
        <f t="shared" ref="D91:N91" si="37">D92+D93+D94</f>
        <v>1817171345.2</v>
      </c>
      <c r="E91" s="15">
        <f t="shared" si="37"/>
        <v>1685138216</v>
      </c>
      <c r="F91" s="15">
        <f t="shared" si="37"/>
        <v>3024180124.5799999</v>
      </c>
      <c r="G91" s="15">
        <f t="shared" si="37"/>
        <v>1452363468.73</v>
      </c>
      <c r="H91" s="15">
        <f t="shared" si="37"/>
        <v>1758507788.3699999</v>
      </c>
      <c r="I91" s="15">
        <f t="shared" si="37"/>
        <v>1777232588.9300001</v>
      </c>
      <c r="J91" s="15">
        <f t="shared" si="37"/>
        <v>1798162567.3299999</v>
      </c>
      <c r="K91" s="15">
        <f t="shared" si="37"/>
        <v>2115030464.26</v>
      </c>
      <c r="L91" s="15">
        <f t="shared" si="37"/>
        <v>662802948.26999998</v>
      </c>
      <c r="M91" s="15">
        <f t="shared" si="37"/>
        <v>0</v>
      </c>
      <c r="N91" s="15">
        <f t="shared" si="37"/>
        <v>0</v>
      </c>
      <c r="O91" s="38" t="s">
        <v>117</v>
      </c>
    </row>
    <row r="92" spans="1:15" ht="194.25" customHeight="1" x14ac:dyDescent="0.25">
      <c r="A92" s="53"/>
      <c r="B92" s="14" t="s">
        <v>82</v>
      </c>
      <c r="C92" s="15">
        <f>SUM(D92:N92)</f>
        <v>409759500</v>
      </c>
      <c r="D92" s="15">
        <f>D96+D103+D107</f>
        <v>174673300</v>
      </c>
      <c r="E92" s="15">
        <f>E96+E103+E107</f>
        <v>117543100</v>
      </c>
      <c r="F92" s="15">
        <f>F96+F103+F107</f>
        <v>117543100</v>
      </c>
      <c r="G92" s="15">
        <f t="shared" ref="G92:N92" si="38">G96+G103+G107</f>
        <v>0</v>
      </c>
      <c r="H92" s="15">
        <f t="shared" si="38"/>
        <v>0</v>
      </c>
      <c r="I92" s="15">
        <f t="shared" si="38"/>
        <v>0</v>
      </c>
      <c r="J92" s="15">
        <f t="shared" si="38"/>
        <v>0</v>
      </c>
      <c r="K92" s="15">
        <f t="shared" si="38"/>
        <v>0</v>
      </c>
      <c r="L92" s="15">
        <f t="shared" si="38"/>
        <v>0</v>
      </c>
      <c r="M92" s="15">
        <f t="shared" si="38"/>
        <v>0</v>
      </c>
      <c r="N92" s="15">
        <f t="shared" si="38"/>
        <v>0</v>
      </c>
      <c r="O92" s="46"/>
    </row>
    <row r="93" spans="1:15" ht="192" customHeight="1" x14ac:dyDescent="0.25">
      <c r="A93" s="53"/>
      <c r="B93" s="14" t="s">
        <v>79</v>
      </c>
      <c r="C93" s="15">
        <f t="shared" ref="C93:C94" si="39">SUM(D93:N93)</f>
        <v>13822447807.049999</v>
      </c>
      <c r="D93" s="15">
        <f>D97+D100+D104+D108+D111+D114+D117+D120+D123</f>
        <v>1450288800</v>
      </c>
      <c r="E93" s="15">
        <f t="shared" ref="E93:N93" si="40">E97+E100+E104+E108+E111+E114+E117+E120+E123</f>
        <v>1426552700</v>
      </c>
      <c r="F93" s="15">
        <f t="shared" si="40"/>
        <v>2702992100</v>
      </c>
      <c r="G93" s="15">
        <f t="shared" si="40"/>
        <v>1246173677.8599999</v>
      </c>
      <c r="H93" s="15">
        <f t="shared" si="40"/>
        <v>1508498472.1400001</v>
      </c>
      <c r="I93" s="15">
        <f t="shared" si="40"/>
        <v>1525350817.6400001</v>
      </c>
      <c r="J93" s="15">
        <f t="shared" si="40"/>
        <v>1544187758.2</v>
      </c>
      <c r="K93" s="15">
        <f t="shared" si="40"/>
        <v>1835085966.1600001</v>
      </c>
      <c r="L93" s="15">
        <f t="shared" si="40"/>
        <v>583317515.04999995</v>
      </c>
      <c r="M93" s="15">
        <f t="shared" si="40"/>
        <v>0</v>
      </c>
      <c r="N93" s="15">
        <f t="shared" si="40"/>
        <v>0</v>
      </c>
      <c r="O93" s="46"/>
    </row>
    <row r="94" spans="1:15" ht="111" customHeight="1" x14ac:dyDescent="0.25">
      <c r="A94" s="53"/>
      <c r="B94" s="14" t="s">
        <v>9</v>
      </c>
      <c r="C94" s="15">
        <f t="shared" si="39"/>
        <v>1858382204.6199999</v>
      </c>
      <c r="D94" s="15">
        <f>D98+D101+D105+D109+D112+D115+D118+D121+D124</f>
        <v>192209245.19999999</v>
      </c>
      <c r="E94" s="15">
        <f t="shared" ref="E94:N94" si="41">E98+E101+E105+E109+E112+E115+E118+E121+E124</f>
        <v>141042416</v>
      </c>
      <c r="F94" s="15">
        <f t="shared" si="41"/>
        <v>203644924.58000001</v>
      </c>
      <c r="G94" s="15">
        <f t="shared" si="41"/>
        <v>206189790.87</v>
      </c>
      <c r="H94" s="15">
        <f t="shared" si="41"/>
        <v>250009316.22999999</v>
      </c>
      <c r="I94" s="15">
        <f t="shared" si="41"/>
        <v>251881771.28999999</v>
      </c>
      <c r="J94" s="15">
        <f t="shared" si="41"/>
        <v>253974809.13</v>
      </c>
      <c r="K94" s="15">
        <f t="shared" si="41"/>
        <v>279944498.10000002</v>
      </c>
      <c r="L94" s="15">
        <f t="shared" si="41"/>
        <v>79485433.219999999</v>
      </c>
      <c r="M94" s="15">
        <f t="shared" si="41"/>
        <v>0</v>
      </c>
      <c r="N94" s="15">
        <f t="shared" si="41"/>
        <v>0</v>
      </c>
      <c r="O94" s="46"/>
    </row>
    <row r="95" spans="1:15" ht="88.5" customHeight="1" x14ac:dyDescent="0.25">
      <c r="A95" s="36" t="s">
        <v>72</v>
      </c>
      <c r="B95" s="14" t="s">
        <v>6</v>
      </c>
      <c r="C95" s="15">
        <f>C96+C97+C98</f>
        <v>779230639.49000001</v>
      </c>
      <c r="D95" s="15">
        <f t="shared" ref="D95:N95" si="42">D96+D97+D98</f>
        <v>779230639.49000001</v>
      </c>
      <c r="E95" s="15">
        <f t="shared" si="42"/>
        <v>0</v>
      </c>
      <c r="F95" s="15">
        <f t="shared" si="42"/>
        <v>0</v>
      </c>
      <c r="G95" s="15">
        <f t="shared" si="42"/>
        <v>0</v>
      </c>
      <c r="H95" s="15">
        <f t="shared" si="42"/>
        <v>0</v>
      </c>
      <c r="I95" s="15">
        <f t="shared" si="42"/>
        <v>0</v>
      </c>
      <c r="J95" s="15">
        <f t="shared" si="42"/>
        <v>0</v>
      </c>
      <c r="K95" s="15">
        <f t="shared" si="42"/>
        <v>0</v>
      </c>
      <c r="L95" s="15">
        <f t="shared" si="42"/>
        <v>0</v>
      </c>
      <c r="M95" s="15">
        <f t="shared" si="42"/>
        <v>0</v>
      </c>
      <c r="N95" s="15">
        <f t="shared" si="42"/>
        <v>0</v>
      </c>
      <c r="O95" s="38" t="s">
        <v>18</v>
      </c>
    </row>
    <row r="96" spans="1:15" ht="189" customHeight="1" x14ac:dyDescent="0.25">
      <c r="A96" s="37"/>
      <c r="B96" s="14" t="s">
        <v>82</v>
      </c>
      <c r="C96" s="15">
        <f>SUM(D96:N96)</f>
        <v>174673300</v>
      </c>
      <c r="D96" s="15">
        <v>174673300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39"/>
    </row>
    <row r="97" spans="1:15" ht="174" customHeight="1" x14ac:dyDescent="0.25">
      <c r="A97" s="37"/>
      <c r="B97" s="14" t="s">
        <v>79</v>
      </c>
      <c r="C97" s="15">
        <f t="shared" ref="C97:C98" si="43">SUM(D97:N97)</f>
        <v>516172600</v>
      </c>
      <c r="D97" s="15">
        <f>407571100+108601500</f>
        <v>516172600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39"/>
    </row>
    <row r="98" spans="1:15" ht="136.5" customHeight="1" x14ac:dyDescent="0.25">
      <c r="A98" s="37"/>
      <c r="B98" s="14" t="s">
        <v>9</v>
      </c>
      <c r="C98" s="15">
        <f t="shared" si="43"/>
        <v>88384739.489999995</v>
      </c>
      <c r="D98" s="15">
        <f>64693822.22+23690917.27</f>
        <v>88384739.489999995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39"/>
    </row>
    <row r="99" spans="1:15" ht="75" customHeight="1" x14ac:dyDescent="0.25">
      <c r="A99" s="36" t="s">
        <v>73</v>
      </c>
      <c r="B99" s="32" t="s">
        <v>6</v>
      </c>
      <c r="C99" s="34">
        <f>C100+C101</f>
        <v>944268305.71000004</v>
      </c>
      <c r="D99" s="34">
        <f t="shared" ref="D99:N99" si="44">D100+D101</f>
        <v>944268305.71000004</v>
      </c>
      <c r="E99" s="34">
        <f t="shared" si="44"/>
        <v>0</v>
      </c>
      <c r="F99" s="15">
        <f t="shared" si="44"/>
        <v>0</v>
      </c>
      <c r="G99" s="15">
        <f t="shared" si="44"/>
        <v>0</v>
      </c>
      <c r="H99" s="15">
        <f t="shared" si="44"/>
        <v>0</v>
      </c>
      <c r="I99" s="15">
        <f t="shared" si="44"/>
        <v>0</v>
      </c>
      <c r="J99" s="15">
        <f t="shared" si="44"/>
        <v>0</v>
      </c>
      <c r="K99" s="15">
        <f t="shared" si="44"/>
        <v>0</v>
      </c>
      <c r="L99" s="15">
        <f t="shared" si="44"/>
        <v>0</v>
      </c>
      <c r="M99" s="15">
        <f t="shared" si="44"/>
        <v>0</v>
      </c>
      <c r="N99" s="15">
        <f t="shared" si="44"/>
        <v>0</v>
      </c>
      <c r="O99" s="38" t="s">
        <v>18</v>
      </c>
    </row>
    <row r="100" spans="1:15" ht="168.75" customHeight="1" x14ac:dyDescent="0.25">
      <c r="A100" s="37"/>
      <c r="B100" s="32" t="s">
        <v>79</v>
      </c>
      <c r="C100" s="34">
        <f>SUM(D100:N100)</f>
        <v>849811100</v>
      </c>
      <c r="D100" s="34">
        <f>849811100</f>
        <v>849811100</v>
      </c>
      <c r="E100" s="34"/>
      <c r="F100" s="15"/>
      <c r="G100" s="15"/>
      <c r="H100" s="15"/>
      <c r="I100" s="15"/>
      <c r="J100" s="15"/>
      <c r="K100" s="15"/>
      <c r="L100" s="15"/>
      <c r="M100" s="15"/>
      <c r="N100" s="15"/>
      <c r="O100" s="39"/>
    </row>
    <row r="101" spans="1:15" ht="159" customHeight="1" x14ac:dyDescent="0.25">
      <c r="A101" s="37"/>
      <c r="B101" s="32" t="s">
        <v>9</v>
      </c>
      <c r="C101" s="34">
        <f>SUM(D101:N101)</f>
        <v>94457205.709999993</v>
      </c>
      <c r="D101" s="34">
        <v>94457205.709999993</v>
      </c>
      <c r="E101" s="34"/>
      <c r="F101" s="15"/>
      <c r="G101" s="15"/>
      <c r="H101" s="15"/>
      <c r="I101" s="15"/>
      <c r="J101" s="15"/>
      <c r="K101" s="15"/>
      <c r="L101" s="15"/>
      <c r="M101" s="15"/>
      <c r="N101" s="15"/>
      <c r="O101" s="39"/>
    </row>
    <row r="102" spans="1:15" ht="61.5" x14ac:dyDescent="0.25">
      <c r="A102" s="36" t="s">
        <v>89</v>
      </c>
      <c r="B102" s="32" t="s">
        <v>6</v>
      </c>
      <c r="C102" s="34">
        <f>C103+C104+C105</f>
        <v>1085594047.5799999</v>
      </c>
      <c r="D102" s="34">
        <f t="shared" ref="D102:N102" si="45">D103+D104+D105</f>
        <v>0</v>
      </c>
      <c r="E102" s="34">
        <f t="shared" si="45"/>
        <v>810639416</v>
      </c>
      <c r="F102" s="15">
        <f t="shared" si="45"/>
        <v>274954631.57999998</v>
      </c>
      <c r="G102" s="15">
        <f t="shared" si="45"/>
        <v>0</v>
      </c>
      <c r="H102" s="15">
        <f t="shared" si="45"/>
        <v>0</v>
      </c>
      <c r="I102" s="15">
        <f t="shared" si="45"/>
        <v>0</v>
      </c>
      <c r="J102" s="15">
        <f t="shared" si="45"/>
        <v>0</v>
      </c>
      <c r="K102" s="15">
        <f t="shared" si="45"/>
        <v>0</v>
      </c>
      <c r="L102" s="15">
        <f t="shared" si="45"/>
        <v>0</v>
      </c>
      <c r="M102" s="15">
        <f t="shared" si="45"/>
        <v>0</v>
      </c>
      <c r="N102" s="15">
        <f t="shared" si="45"/>
        <v>0</v>
      </c>
      <c r="O102" s="38" t="s">
        <v>18</v>
      </c>
    </row>
    <row r="103" spans="1:15" ht="160.5" customHeight="1" x14ac:dyDescent="0.25">
      <c r="A103" s="37"/>
      <c r="B103" s="32" t="s">
        <v>80</v>
      </c>
      <c r="C103" s="34">
        <f t="shared" ref="C103:C109" si="46">SUM(D103:N103)</f>
        <v>235086200</v>
      </c>
      <c r="D103" s="34"/>
      <c r="E103" s="34">
        <v>117543100</v>
      </c>
      <c r="F103" s="15">
        <v>117543100</v>
      </c>
      <c r="G103" s="15"/>
      <c r="H103" s="15"/>
      <c r="I103" s="15"/>
      <c r="J103" s="15"/>
      <c r="K103" s="15"/>
      <c r="L103" s="15"/>
      <c r="M103" s="15"/>
      <c r="N103" s="15"/>
      <c r="O103" s="39"/>
    </row>
    <row r="104" spans="1:15" ht="153.75" x14ac:dyDescent="0.25">
      <c r="A104" s="37"/>
      <c r="B104" s="32" t="s">
        <v>79</v>
      </c>
      <c r="C104" s="34">
        <f t="shared" si="46"/>
        <v>783167800</v>
      </c>
      <c r="D104" s="34">
        <v>0</v>
      </c>
      <c r="E104" s="34">
        <f>274267300+365236700</f>
        <v>639504000</v>
      </c>
      <c r="F104" s="15">
        <v>143663800</v>
      </c>
      <c r="G104" s="15"/>
      <c r="H104" s="15"/>
      <c r="I104" s="15"/>
      <c r="J104" s="15"/>
      <c r="K104" s="15"/>
      <c r="L104" s="15"/>
      <c r="M104" s="15"/>
      <c r="N104" s="15"/>
      <c r="O104" s="39"/>
    </row>
    <row r="105" spans="1:15" ht="92.25" x14ac:dyDescent="0.25">
      <c r="A105" s="37"/>
      <c r="B105" s="32" t="s">
        <v>9</v>
      </c>
      <c r="C105" s="34">
        <f t="shared" si="46"/>
        <v>67340047.579999998</v>
      </c>
      <c r="D105" s="34"/>
      <c r="E105" s="34">
        <f>20621600.21+32970715.79</f>
        <v>53592316</v>
      </c>
      <c r="F105" s="15">
        <v>13747731.58</v>
      </c>
      <c r="G105" s="15"/>
      <c r="H105" s="15"/>
      <c r="I105" s="15"/>
      <c r="J105" s="15"/>
      <c r="K105" s="15"/>
      <c r="L105" s="15"/>
      <c r="M105" s="15"/>
      <c r="N105" s="15"/>
      <c r="O105" s="48"/>
    </row>
    <row r="106" spans="1:15" ht="67.5" customHeight="1" x14ac:dyDescent="0.25">
      <c r="A106" s="36" t="s">
        <v>95</v>
      </c>
      <c r="B106" s="14" t="s">
        <v>6</v>
      </c>
      <c r="C106" s="15">
        <f>C107+C108+C109</f>
        <v>1827842843</v>
      </c>
      <c r="D106" s="15">
        <f t="shared" ref="D106:N106" si="47">D107+D108+D109</f>
        <v>0</v>
      </c>
      <c r="E106" s="15">
        <f t="shared" si="47"/>
        <v>0</v>
      </c>
      <c r="F106" s="15">
        <f t="shared" si="47"/>
        <v>1827842843</v>
      </c>
      <c r="G106" s="15">
        <f t="shared" si="47"/>
        <v>0</v>
      </c>
      <c r="H106" s="15">
        <f t="shared" si="47"/>
        <v>0</v>
      </c>
      <c r="I106" s="15">
        <f t="shared" si="47"/>
        <v>0</v>
      </c>
      <c r="J106" s="15">
        <f t="shared" si="47"/>
        <v>0</v>
      </c>
      <c r="K106" s="15">
        <f t="shared" si="47"/>
        <v>0</v>
      </c>
      <c r="L106" s="15">
        <f t="shared" si="47"/>
        <v>0</v>
      </c>
      <c r="M106" s="15">
        <f t="shared" si="47"/>
        <v>0</v>
      </c>
      <c r="N106" s="15">
        <f t="shared" si="47"/>
        <v>0</v>
      </c>
      <c r="O106" s="38" t="s">
        <v>18</v>
      </c>
    </row>
    <row r="107" spans="1:15" ht="184.5" hidden="1" x14ac:dyDescent="0.25">
      <c r="A107" s="37"/>
      <c r="B107" s="14" t="s">
        <v>80</v>
      </c>
      <c r="C107" s="15">
        <f t="shared" si="46"/>
        <v>0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39"/>
    </row>
    <row r="108" spans="1:15" ht="153.75" x14ac:dyDescent="0.25">
      <c r="A108" s="37"/>
      <c r="B108" s="14" t="s">
        <v>79</v>
      </c>
      <c r="C108" s="15">
        <f t="shared" si="46"/>
        <v>1736450700</v>
      </c>
      <c r="D108" s="15"/>
      <c r="E108" s="15"/>
      <c r="F108" s="15">
        <v>1736450700</v>
      </c>
      <c r="G108" s="15"/>
      <c r="H108" s="15"/>
      <c r="I108" s="15"/>
      <c r="J108" s="15"/>
      <c r="K108" s="15"/>
      <c r="L108" s="15"/>
      <c r="M108" s="15"/>
      <c r="N108" s="15"/>
      <c r="O108" s="39"/>
    </row>
    <row r="109" spans="1:15" ht="92.25" x14ac:dyDescent="0.25">
      <c r="A109" s="37"/>
      <c r="B109" s="14" t="s">
        <v>9</v>
      </c>
      <c r="C109" s="11">
        <f t="shared" si="46"/>
        <v>91392143</v>
      </c>
      <c r="D109" s="11"/>
      <c r="E109" s="11"/>
      <c r="F109" s="11">
        <v>91392143</v>
      </c>
      <c r="G109" s="11"/>
      <c r="H109" s="15"/>
      <c r="I109" s="15"/>
      <c r="J109" s="15"/>
      <c r="K109" s="15"/>
      <c r="L109" s="15"/>
      <c r="M109" s="15"/>
      <c r="N109" s="15"/>
      <c r="O109" s="39"/>
    </row>
    <row r="110" spans="1:15" ht="95.45" customHeight="1" x14ac:dyDescent="0.25">
      <c r="A110" s="43" t="s">
        <v>74</v>
      </c>
      <c r="B110" s="14" t="s">
        <v>6</v>
      </c>
      <c r="C110" s="11">
        <f>C111+C112</f>
        <v>1230537292.8099999</v>
      </c>
      <c r="D110" s="11">
        <f t="shared" ref="D110:N110" si="48">D111+D112</f>
        <v>93672400</v>
      </c>
      <c r="E110" s="11">
        <f t="shared" si="48"/>
        <v>93672400</v>
      </c>
      <c r="F110" s="11">
        <f t="shared" si="48"/>
        <v>140556250</v>
      </c>
      <c r="G110" s="11">
        <f t="shared" si="48"/>
        <v>188750200</v>
      </c>
      <c r="H110" s="15">
        <f t="shared" si="48"/>
        <v>190666150</v>
      </c>
      <c r="I110" s="15">
        <f t="shared" si="48"/>
        <v>192817900</v>
      </c>
      <c r="J110" s="15">
        <f t="shared" si="48"/>
        <v>195095500</v>
      </c>
      <c r="K110" s="15">
        <f t="shared" si="48"/>
        <v>135306492.81</v>
      </c>
      <c r="L110" s="15">
        <f t="shared" si="48"/>
        <v>0</v>
      </c>
      <c r="M110" s="15">
        <f t="shared" si="48"/>
        <v>0</v>
      </c>
      <c r="N110" s="15">
        <f t="shared" si="48"/>
        <v>0</v>
      </c>
      <c r="O110" s="44" t="s">
        <v>83</v>
      </c>
    </row>
    <row r="111" spans="1:15" ht="186.6" customHeight="1" x14ac:dyDescent="0.25">
      <c r="A111" s="37"/>
      <c r="B111" s="14" t="s">
        <v>79</v>
      </c>
      <c r="C111" s="11">
        <f>SUM(D111:N111)</f>
        <v>1064389694.26</v>
      </c>
      <c r="D111" s="11">
        <v>84305100</v>
      </c>
      <c r="E111" s="11">
        <v>84305100</v>
      </c>
      <c r="F111" s="11">
        <v>120134000</v>
      </c>
      <c r="G111" s="11">
        <v>161386300</v>
      </c>
      <c r="H111" s="15">
        <v>163110700</v>
      </c>
      <c r="I111" s="15">
        <v>165047300</v>
      </c>
      <c r="J111" s="15">
        <v>167097100</v>
      </c>
      <c r="K111" s="15">
        <v>119004094.26000001</v>
      </c>
      <c r="L111" s="15"/>
      <c r="M111" s="15"/>
      <c r="N111" s="15"/>
      <c r="O111" s="45"/>
    </row>
    <row r="112" spans="1:15" ht="120" customHeight="1" x14ac:dyDescent="0.25">
      <c r="A112" s="37"/>
      <c r="B112" s="14" t="s">
        <v>9</v>
      </c>
      <c r="C112" s="11">
        <f>SUM(D112:N112)</f>
        <v>166147598.55000001</v>
      </c>
      <c r="D112" s="11">
        <v>9367300</v>
      </c>
      <c r="E112" s="11">
        <v>9367300</v>
      </c>
      <c r="F112" s="11">
        <v>20422250</v>
      </c>
      <c r="G112" s="11">
        <v>27363900</v>
      </c>
      <c r="H112" s="15">
        <v>27555450</v>
      </c>
      <c r="I112" s="15">
        <v>27770600</v>
      </c>
      <c r="J112" s="15">
        <v>27998400</v>
      </c>
      <c r="K112" s="15">
        <v>16302398.550000001</v>
      </c>
      <c r="L112" s="15"/>
      <c r="M112" s="15"/>
      <c r="N112" s="15"/>
      <c r="O112" s="45"/>
    </row>
    <row r="113" spans="1:15" ht="100.5" customHeight="1" x14ac:dyDescent="0.25">
      <c r="A113" s="43" t="s">
        <v>75</v>
      </c>
      <c r="B113" s="14" t="s">
        <v>6</v>
      </c>
      <c r="C113" s="11">
        <f>C114+C115</f>
        <v>2549171173.3600001</v>
      </c>
      <c r="D113" s="11">
        <f t="shared" ref="D113:N113" si="49">D114+D115</f>
        <v>0</v>
      </c>
      <c r="E113" s="11">
        <f t="shared" si="49"/>
        <v>195206600</v>
      </c>
      <c r="F113" s="11">
        <f t="shared" si="49"/>
        <v>195206600</v>
      </c>
      <c r="G113" s="11">
        <f t="shared" si="49"/>
        <v>387773340.99000001</v>
      </c>
      <c r="H113" s="15">
        <f t="shared" si="49"/>
        <v>391137281.68000001</v>
      </c>
      <c r="I113" s="15">
        <f t="shared" si="49"/>
        <v>395475125.38</v>
      </c>
      <c r="J113" s="15">
        <f t="shared" si="49"/>
        <v>400384391.81999999</v>
      </c>
      <c r="K113" s="15">
        <f t="shared" si="49"/>
        <v>583987833.49000001</v>
      </c>
      <c r="L113" s="15">
        <f t="shared" si="49"/>
        <v>0</v>
      </c>
      <c r="M113" s="15">
        <f t="shared" si="49"/>
        <v>0</v>
      </c>
      <c r="N113" s="15">
        <f t="shared" si="49"/>
        <v>0</v>
      </c>
      <c r="O113" s="44" t="s">
        <v>83</v>
      </c>
    </row>
    <row r="114" spans="1:15" ht="189.75" customHeight="1" x14ac:dyDescent="0.25">
      <c r="A114" s="37"/>
      <c r="B114" s="14" t="s">
        <v>79</v>
      </c>
      <c r="C114" s="11">
        <f>SUM(D114:N114)</f>
        <v>2218113976.0300002</v>
      </c>
      <c r="D114" s="11"/>
      <c r="E114" s="11">
        <v>175685900</v>
      </c>
      <c r="F114" s="11">
        <v>175685900</v>
      </c>
      <c r="G114" s="11">
        <v>333768006.88999999</v>
      </c>
      <c r="H114" s="15">
        <v>336795553.51999998</v>
      </c>
      <c r="I114" s="15">
        <v>340699612.83999997</v>
      </c>
      <c r="J114" s="15">
        <v>345117952.63999999</v>
      </c>
      <c r="K114" s="15">
        <v>510361050.13999999</v>
      </c>
      <c r="L114" s="15"/>
      <c r="M114" s="15"/>
      <c r="N114" s="15"/>
      <c r="O114" s="45"/>
    </row>
    <row r="115" spans="1:15" ht="124.5" customHeight="1" x14ac:dyDescent="0.25">
      <c r="A115" s="37"/>
      <c r="B115" s="14" t="s">
        <v>9</v>
      </c>
      <c r="C115" s="11">
        <f>SUM(D115:N115)</f>
        <v>331057197.32999998</v>
      </c>
      <c r="D115" s="11"/>
      <c r="E115" s="11">
        <v>19520700</v>
      </c>
      <c r="F115" s="11">
        <v>19520700</v>
      </c>
      <c r="G115" s="11">
        <v>54005334.100000001</v>
      </c>
      <c r="H115" s="15">
        <v>54341728.159999996</v>
      </c>
      <c r="I115" s="15">
        <v>54775512.539999999</v>
      </c>
      <c r="J115" s="15">
        <v>55266439.18</v>
      </c>
      <c r="K115" s="15">
        <v>73626783.349999994</v>
      </c>
      <c r="L115" s="15"/>
      <c r="M115" s="15"/>
      <c r="N115" s="15"/>
      <c r="O115" s="45"/>
    </row>
    <row r="116" spans="1:15" ht="107.25" customHeight="1" x14ac:dyDescent="0.25">
      <c r="A116" s="43" t="s">
        <v>76</v>
      </c>
      <c r="B116" s="32" t="s">
        <v>6</v>
      </c>
      <c r="C116" s="11">
        <f>C117+C118</f>
        <v>2562387013.3600001</v>
      </c>
      <c r="D116" s="11">
        <f t="shared" ref="D116:N116" si="50">D117+D118</f>
        <v>0</v>
      </c>
      <c r="E116" s="11">
        <f t="shared" si="50"/>
        <v>195206600</v>
      </c>
      <c r="F116" s="11">
        <f t="shared" si="50"/>
        <v>195206600</v>
      </c>
      <c r="G116" s="11">
        <f t="shared" si="50"/>
        <v>292839951.64999998</v>
      </c>
      <c r="H116" s="15">
        <f t="shared" si="50"/>
        <v>393249590.50999999</v>
      </c>
      <c r="I116" s="15">
        <f t="shared" si="50"/>
        <v>397242322.25</v>
      </c>
      <c r="J116" s="15">
        <f t="shared" si="50"/>
        <v>401726462.62</v>
      </c>
      <c r="K116" s="15">
        <f t="shared" si="50"/>
        <v>406472759.30000001</v>
      </c>
      <c r="L116" s="15">
        <f t="shared" si="50"/>
        <v>280442727.02999997</v>
      </c>
      <c r="M116" s="15">
        <f t="shared" si="50"/>
        <v>0</v>
      </c>
      <c r="N116" s="15">
        <f t="shared" si="50"/>
        <v>0</v>
      </c>
      <c r="O116" s="44" t="s">
        <v>83</v>
      </c>
    </row>
    <row r="117" spans="1:15" ht="203.25" customHeight="1" x14ac:dyDescent="0.25">
      <c r="A117" s="37"/>
      <c r="B117" s="32" t="s">
        <v>79</v>
      </c>
      <c r="C117" s="11">
        <f>SUM(D117:N117)</f>
        <v>2218113976.0300002</v>
      </c>
      <c r="D117" s="11"/>
      <c r="E117" s="11">
        <v>175685900</v>
      </c>
      <c r="F117" s="11">
        <v>175685900</v>
      </c>
      <c r="G117" s="11">
        <v>250350818.09</v>
      </c>
      <c r="H117" s="15">
        <v>336317780.25999999</v>
      </c>
      <c r="I117" s="15">
        <v>339911238.82999998</v>
      </c>
      <c r="J117" s="15">
        <v>343946965.14999998</v>
      </c>
      <c r="K117" s="15">
        <v>348218632.17000002</v>
      </c>
      <c r="L117" s="15">
        <v>247996741.53</v>
      </c>
      <c r="M117" s="15"/>
      <c r="N117" s="15"/>
      <c r="O117" s="45"/>
    </row>
    <row r="118" spans="1:15" ht="133.5" customHeight="1" x14ac:dyDescent="0.25">
      <c r="A118" s="37"/>
      <c r="B118" s="32" t="s">
        <v>9</v>
      </c>
      <c r="C118" s="11">
        <f>SUM(D118:N118)</f>
        <v>344273037.32999998</v>
      </c>
      <c r="D118" s="11"/>
      <c r="E118" s="11">
        <v>19520700</v>
      </c>
      <c r="F118" s="11">
        <v>19520700</v>
      </c>
      <c r="G118" s="11">
        <v>42489133.560000002</v>
      </c>
      <c r="H118" s="15">
        <v>56931810.25</v>
      </c>
      <c r="I118" s="15">
        <v>57331083.420000002</v>
      </c>
      <c r="J118" s="15">
        <v>57779497.469999999</v>
      </c>
      <c r="K118" s="15">
        <v>58254127.130000003</v>
      </c>
      <c r="L118" s="15">
        <v>32445985.5</v>
      </c>
      <c r="M118" s="15"/>
      <c r="N118" s="15"/>
      <c r="O118" s="45"/>
    </row>
    <row r="119" spans="1:15" ht="88.15" customHeight="1" x14ac:dyDescent="0.25">
      <c r="A119" s="43" t="s">
        <v>77</v>
      </c>
      <c r="B119" s="32" t="s">
        <v>6</v>
      </c>
      <c r="C119" s="11">
        <f>C120+C121</f>
        <v>2549171183</v>
      </c>
      <c r="D119" s="11">
        <f t="shared" ref="D119:N119" si="51">D120+D121</f>
        <v>0</v>
      </c>
      <c r="E119" s="11">
        <f t="shared" si="51"/>
        <v>195206600</v>
      </c>
      <c r="F119" s="11">
        <f t="shared" si="51"/>
        <v>195206600</v>
      </c>
      <c r="G119" s="11">
        <f t="shared" si="51"/>
        <v>387773341.66000003</v>
      </c>
      <c r="H119" s="28">
        <f t="shared" si="51"/>
        <v>391137282.88</v>
      </c>
      <c r="I119" s="28">
        <f t="shared" si="51"/>
        <v>395475127.22000003</v>
      </c>
      <c r="J119" s="28">
        <f t="shared" si="51"/>
        <v>400384394.33999997</v>
      </c>
      <c r="K119" s="28">
        <f t="shared" si="51"/>
        <v>583987836.89999998</v>
      </c>
      <c r="L119" s="28">
        <f t="shared" si="51"/>
        <v>0</v>
      </c>
      <c r="M119" s="28">
        <f t="shared" si="51"/>
        <v>0</v>
      </c>
      <c r="N119" s="28">
        <f t="shared" si="51"/>
        <v>0</v>
      </c>
      <c r="O119" s="44" t="s">
        <v>83</v>
      </c>
    </row>
    <row r="120" spans="1:15" ht="189" customHeight="1" x14ac:dyDescent="0.25">
      <c r="A120" s="37"/>
      <c r="B120" s="32" t="s">
        <v>79</v>
      </c>
      <c r="C120" s="11">
        <f>SUM(D120:N120)</f>
        <v>2218113984.6999998</v>
      </c>
      <c r="D120" s="11"/>
      <c r="E120" s="11">
        <v>175685900</v>
      </c>
      <c r="F120" s="11">
        <v>175685900</v>
      </c>
      <c r="G120" s="11">
        <v>333768007.49000001</v>
      </c>
      <c r="H120" s="28">
        <v>336795554.58999997</v>
      </c>
      <c r="I120" s="28">
        <v>340699614.5</v>
      </c>
      <c r="J120" s="28">
        <v>345117954.91000003</v>
      </c>
      <c r="K120" s="28">
        <v>510361053.20999998</v>
      </c>
      <c r="L120" s="28"/>
      <c r="M120" s="28"/>
      <c r="N120" s="28"/>
      <c r="O120" s="45"/>
    </row>
    <row r="121" spans="1:15" ht="140.25" customHeight="1" x14ac:dyDescent="0.25">
      <c r="A121" s="37"/>
      <c r="B121" s="32" t="s">
        <v>9</v>
      </c>
      <c r="C121" s="11">
        <f>SUM(D121:N121)</f>
        <v>331057198.30000001</v>
      </c>
      <c r="D121" s="11"/>
      <c r="E121" s="11">
        <v>19520700</v>
      </c>
      <c r="F121" s="11">
        <v>19520700</v>
      </c>
      <c r="G121" s="11">
        <v>54005334.170000002</v>
      </c>
      <c r="H121" s="28">
        <v>54341728.289999999</v>
      </c>
      <c r="I121" s="28">
        <v>54775512.719999999</v>
      </c>
      <c r="J121" s="28">
        <v>55266439.43</v>
      </c>
      <c r="K121" s="28">
        <v>73626783.689999998</v>
      </c>
      <c r="L121" s="28"/>
      <c r="M121" s="28"/>
      <c r="N121" s="28"/>
      <c r="O121" s="45"/>
    </row>
    <row r="122" spans="1:15" ht="89.25" customHeight="1" x14ac:dyDescent="0.25">
      <c r="A122" s="43" t="s">
        <v>78</v>
      </c>
      <c r="B122" s="27" t="s">
        <v>6</v>
      </c>
      <c r="C122" s="11">
        <f>C123+C124</f>
        <v>2562387013.3600001</v>
      </c>
      <c r="D122" s="11">
        <f t="shared" ref="D122:N122" si="52">D123+D124</f>
        <v>0</v>
      </c>
      <c r="E122" s="11">
        <f t="shared" si="52"/>
        <v>195206600</v>
      </c>
      <c r="F122" s="11">
        <f t="shared" si="52"/>
        <v>195206600</v>
      </c>
      <c r="G122" s="11">
        <f t="shared" si="52"/>
        <v>195226634.43000001</v>
      </c>
      <c r="H122" s="28">
        <f t="shared" si="52"/>
        <v>392317483.30000001</v>
      </c>
      <c r="I122" s="28">
        <f t="shared" si="52"/>
        <v>396222114.07999998</v>
      </c>
      <c r="J122" s="28">
        <f t="shared" si="52"/>
        <v>400571818.55000001</v>
      </c>
      <c r="K122" s="28">
        <f t="shared" si="52"/>
        <v>405275541.75999999</v>
      </c>
      <c r="L122" s="28">
        <f t="shared" si="52"/>
        <v>382360221.24000001</v>
      </c>
      <c r="M122" s="28">
        <f t="shared" si="52"/>
        <v>0</v>
      </c>
      <c r="N122" s="28">
        <f t="shared" si="52"/>
        <v>0</v>
      </c>
      <c r="O122" s="44" t="s">
        <v>83</v>
      </c>
    </row>
    <row r="123" spans="1:15" ht="167.45" customHeight="1" x14ac:dyDescent="0.25">
      <c r="A123" s="37"/>
      <c r="B123" s="27" t="s">
        <v>79</v>
      </c>
      <c r="C123" s="11">
        <f>SUM(D123:N123)</f>
        <v>2218113976.0300002</v>
      </c>
      <c r="D123" s="11"/>
      <c r="E123" s="11">
        <v>175685900</v>
      </c>
      <c r="F123" s="11">
        <v>175685900</v>
      </c>
      <c r="G123" s="11">
        <v>166900545.38999999</v>
      </c>
      <c r="H123" s="28">
        <v>335478883.76999998</v>
      </c>
      <c r="I123" s="28">
        <v>338993051.47000003</v>
      </c>
      <c r="J123" s="28">
        <v>342907785.5</v>
      </c>
      <c r="K123" s="28">
        <v>347141136.38</v>
      </c>
      <c r="L123" s="28">
        <v>335320773.51999998</v>
      </c>
      <c r="M123" s="28"/>
      <c r="N123" s="28"/>
      <c r="O123" s="45"/>
    </row>
    <row r="124" spans="1:15" ht="106.15" customHeight="1" x14ac:dyDescent="0.25">
      <c r="A124" s="37"/>
      <c r="B124" s="27" t="s">
        <v>9</v>
      </c>
      <c r="C124" s="11">
        <f>SUM(D124:N124)</f>
        <v>344273037.32999998</v>
      </c>
      <c r="D124" s="11"/>
      <c r="E124" s="11">
        <v>19520700</v>
      </c>
      <c r="F124" s="11">
        <v>19520700</v>
      </c>
      <c r="G124" s="11">
        <v>28326089.039999999</v>
      </c>
      <c r="H124" s="28">
        <v>56838599.530000001</v>
      </c>
      <c r="I124" s="28">
        <v>57229062.609999999</v>
      </c>
      <c r="J124" s="28">
        <v>57664033.049999997</v>
      </c>
      <c r="K124" s="28">
        <v>58134405.380000003</v>
      </c>
      <c r="L124" s="28">
        <v>47039447.719999999</v>
      </c>
      <c r="M124" s="28"/>
      <c r="N124" s="28"/>
      <c r="O124" s="45"/>
    </row>
    <row r="125" spans="1:15" ht="65.45" customHeight="1" x14ac:dyDescent="0.25">
      <c r="A125" s="36" t="s">
        <v>47</v>
      </c>
      <c r="B125" s="14" t="s">
        <v>6</v>
      </c>
      <c r="C125" s="11">
        <f>C126+C127+C128</f>
        <v>93545648767.970001</v>
      </c>
      <c r="D125" s="11">
        <f t="shared" ref="D125:N125" si="53">D126+D127+D128</f>
        <v>9780187904.2600002</v>
      </c>
      <c r="E125" s="11">
        <f t="shared" si="53"/>
        <v>9236301305.0599995</v>
      </c>
      <c r="F125" s="11">
        <f t="shared" si="53"/>
        <v>10506884113.440001</v>
      </c>
      <c r="G125" s="11">
        <f t="shared" si="53"/>
        <v>8132218313.1999998</v>
      </c>
      <c r="H125" s="15">
        <f t="shared" si="53"/>
        <v>8272963346.6800003</v>
      </c>
      <c r="I125" s="15">
        <f t="shared" si="53"/>
        <v>8305709333.9200001</v>
      </c>
      <c r="J125" s="15">
        <f t="shared" si="53"/>
        <v>8323974619.8000002</v>
      </c>
      <c r="K125" s="15">
        <f t="shared" si="53"/>
        <v>8656987494.9799995</v>
      </c>
      <c r="L125" s="15">
        <f t="shared" si="53"/>
        <v>7394917402</v>
      </c>
      <c r="M125" s="15">
        <f t="shared" si="53"/>
        <v>7526792645.04</v>
      </c>
      <c r="N125" s="15">
        <f t="shared" si="53"/>
        <v>7408712289.5900002</v>
      </c>
      <c r="O125" s="16" t="s">
        <v>17</v>
      </c>
    </row>
    <row r="126" spans="1:15" ht="153.75" x14ac:dyDescent="0.25">
      <c r="A126" s="36"/>
      <c r="B126" s="14" t="s">
        <v>8</v>
      </c>
      <c r="C126" s="15">
        <f>SUM(D126:N126)</f>
        <v>1266084372.46</v>
      </c>
      <c r="D126" s="15">
        <f>D92+D60+D75</f>
        <v>305732172.45999998</v>
      </c>
      <c r="E126" s="21">
        <f t="shared" ref="E126:F126" si="54">E92+E60</f>
        <v>480176100</v>
      </c>
      <c r="F126" s="21">
        <f t="shared" si="54"/>
        <v>480176100</v>
      </c>
      <c r="G126" s="15">
        <f t="shared" ref="G126:N126" si="55">G92</f>
        <v>0</v>
      </c>
      <c r="H126" s="15">
        <f t="shared" si="55"/>
        <v>0</v>
      </c>
      <c r="I126" s="15">
        <f t="shared" si="55"/>
        <v>0</v>
      </c>
      <c r="J126" s="15">
        <f t="shared" si="55"/>
        <v>0</v>
      </c>
      <c r="K126" s="15">
        <f t="shared" si="55"/>
        <v>0</v>
      </c>
      <c r="L126" s="15">
        <f t="shared" si="55"/>
        <v>0</v>
      </c>
      <c r="M126" s="15">
        <f t="shared" si="55"/>
        <v>0</v>
      </c>
      <c r="N126" s="15">
        <f t="shared" si="55"/>
        <v>0</v>
      </c>
      <c r="O126" s="16" t="s">
        <v>17</v>
      </c>
    </row>
    <row r="127" spans="1:15" ht="153.75" x14ac:dyDescent="0.25">
      <c r="A127" s="37"/>
      <c r="B127" s="14" t="s">
        <v>79</v>
      </c>
      <c r="C127" s="15">
        <f>SUM(D127:N127)</f>
        <v>76536591696.440002</v>
      </c>
      <c r="D127" s="15">
        <f>D93+D76+D72+D61</f>
        <v>8083049425</v>
      </c>
      <c r="E127" s="15">
        <f t="shared" ref="E127:N127" si="56">E93+E76+E72+E61</f>
        <v>7478236412.7399998</v>
      </c>
      <c r="F127" s="15">
        <f t="shared" si="56"/>
        <v>8764995212.9599991</v>
      </c>
      <c r="G127" s="15">
        <f t="shared" si="56"/>
        <v>6769256138.2799997</v>
      </c>
      <c r="H127" s="15">
        <f t="shared" si="56"/>
        <v>6777105735.8000002</v>
      </c>
      <c r="I127" s="15">
        <f t="shared" si="56"/>
        <v>6785897868.7200003</v>
      </c>
      <c r="J127" s="15">
        <f t="shared" si="56"/>
        <v>6795577611.7200003</v>
      </c>
      <c r="K127" s="15">
        <f t="shared" si="56"/>
        <v>7114408969.2200003</v>
      </c>
      <c r="L127" s="15">
        <f t="shared" si="56"/>
        <v>5989354774</v>
      </c>
      <c r="M127" s="15">
        <f t="shared" si="56"/>
        <v>5989354774</v>
      </c>
      <c r="N127" s="15">
        <f t="shared" si="56"/>
        <v>5989354774</v>
      </c>
      <c r="O127" s="16" t="s">
        <v>17</v>
      </c>
    </row>
    <row r="128" spans="1:15" ht="92.25" x14ac:dyDescent="0.25">
      <c r="A128" s="37"/>
      <c r="B128" s="14" t="s">
        <v>9</v>
      </c>
      <c r="C128" s="15">
        <f>SUM(D128:N128)</f>
        <v>15742972699.07</v>
      </c>
      <c r="D128" s="15">
        <f>D94+D88+D79+D77+D73+D62</f>
        <v>1391406306.8</v>
      </c>
      <c r="E128" s="15">
        <f t="shared" ref="E128:N128" si="57">E94+E88+E79+E77+E73+E62</f>
        <v>1277888792.3199999</v>
      </c>
      <c r="F128" s="15">
        <f t="shared" si="57"/>
        <v>1261712800.48</v>
      </c>
      <c r="G128" s="15">
        <f t="shared" si="57"/>
        <v>1362962174.9200001</v>
      </c>
      <c r="H128" s="15">
        <f t="shared" si="57"/>
        <v>1495857610.8800001</v>
      </c>
      <c r="I128" s="15">
        <f t="shared" si="57"/>
        <v>1519811465.2</v>
      </c>
      <c r="J128" s="15">
        <f t="shared" si="57"/>
        <v>1528397008.0799999</v>
      </c>
      <c r="K128" s="15">
        <f t="shared" si="57"/>
        <v>1542578525.76</v>
      </c>
      <c r="L128" s="15">
        <f t="shared" si="57"/>
        <v>1405562628</v>
      </c>
      <c r="M128" s="15">
        <f t="shared" si="57"/>
        <v>1537437871.04</v>
      </c>
      <c r="N128" s="15">
        <f t="shared" si="57"/>
        <v>1419357515.5899999</v>
      </c>
      <c r="O128" s="16" t="s">
        <v>17</v>
      </c>
    </row>
    <row r="129" spans="1:15" ht="45" customHeight="1" x14ac:dyDescent="0.25">
      <c r="A129" s="36" t="s">
        <v>57</v>
      </c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</row>
    <row r="130" spans="1:15" s="5" customFormat="1" ht="42" customHeight="1" x14ac:dyDescent="0.25">
      <c r="A130" s="40" t="s">
        <v>58</v>
      </c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2"/>
    </row>
    <row r="131" spans="1:15" ht="85.5" customHeight="1" x14ac:dyDescent="0.25">
      <c r="A131" s="36" t="s">
        <v>111</v>
      </c>
      <c r="B131" s="14" t="s">
        <v>6</v>
      </c>
      <c r="C131" s="15">
        <f>C133+C132</f>
        <v>1585242064.8</v>
      </c>
      <c r="D131" s="21">
        <f t="shared" ref="D131:N131" si="58">D133+D132</f>
        <v>143076707.87</v>
      </c>
      <c r="E131" s="21">
        <f t="shared" si="58"/>
        <v>136034359.03999999</v>
      </c>
      <c r="F131" s="21">
        <f t="shared" si="58"/>
        <v>116140180.89</v>
      </c>
      <c r="G131" s="21">
        <f t="shared" si="58"/>
        <v>130190984</v>
      </c>
      <c r="H131" s="21">
        <f t="shared" si="58"/>
        <v>144500921</v>
      </c>
      <c r="I131" s="21">
        <f t="shared" si="58"/>
        <v>147006737</v>
      </c>
      <c r="J131" s="21">
        <f t="shared" si="58"/>
        <v>147638422</v>
      </c>
      <c r="K131" s="21">
        <f t="shared" si="58"/>
        <v>142474415</v>
      </c>
      <c r="L131" s="21">
        <f t="shared" si="58"/>
        <v>154071003</v>
      </c>
      <c r="M131" s="21">
        <f t="shared" si="58"/>
        <v>168534527</v>
      </c>
      <c r="N131" s="21">
        <f t="shared" si="58"/>
        <v>155573808</v>
      </c>
      <c r="O131" s="38" t="s">
        <v>12</v>
      </c>
    </row>
    <row r="132" spans="1:15" ht="168.75" customHeight="1" x14ac:dyDescent="0.25">
      <c r="A132" s="36"/>
      <c r="B132" s="20" t="s">
        <v>79</v>
      </c>
      <c r="C132" s="21">
        <f>SUM(D132:N132)</f>
        <v>1990775</v>
      </c>
      <c r="D132" s="21">
        <v>1990775</v>
      </c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38"/>
    </row>
    <row r="133" spans="1:15" ht="107.25" customHeight="1" x14ac:dyDescent="0.25">
      <c r="A133" s="46"/>
      <c r="B133" s="14" t="s">
        <v>9</v>
      </c>
      <c r="C133" s="15">
        <f>SUM(D133:N133)</f>
        <v>1583251289.8</v>
      </c>
      <c r="D133" s="15">
        <v>141085932.87</v>
      </c>
      <c r="E133" s="15">
        <v>136034359.03999999</v>
      </c>
      <c r="F133" s="15">
        <v>116140180.89</v>
      </c>
      <c r="G133" s="15">
        <f>130190984</f>
        <v>130190984</v>
      </c>
      <c r="H133" s="15">
        <v>144500921</v>
      </c>
      <c r="I133" s="15">
        <v>147006737</v>
      </c>
      <c r="J133" s="15">
        <v>147638422</v>
      </c>
      <c r="K133" s="15">
        <v>142474415</v>
      </c>
      <c r="L133" s="15">
        <v>154071003</v>
      </c>
      <c r="M133" s="15">
        <v>168534527</v>
      </c>
      <c r="N133" s="15">
        <v>155573808</v>
      </c>
      <c r="O133" s="46"/>
    </row>
    <row r="134" spans="1:15" ht="97.5" customHeight="1" x14ac:dyDescent="0.25">
      <c r="A134" s="36" t="s">
        <v>59</v>
      </c>
      <c r="B134" s="14" t="s">
        <v>6</v>
      </c>
      <c r="C134" s="15">
        <f>C136+C135</f>
        <v>1585101704.8</v>
      </c>
      <c r="D134" s="21">
        <f>D136+D135</f>
        <v>143063947.87</v>
      </c>
      <c r="E134" s="21">
        <f t="shared" ref="E134:N134" si="59">E136+E135</f>
        <v>136021599.03999999</v>
      </c>
      <c r="F134" s="21">
        <f t="shared" si="59"/>
        <v>116127420.89</v>
      </c>
      <c r="G134" s="21">
        <f t="shared" si="59"/>
        <v>130178224</v>
      </c>
      <c r="H134" s="21">
        <f t="shared" si="59"/>
        <v>144488161</v>
      </c>
      <c r="I134" s="21">
        <f t="shared" si="59"/>
        <v>146993977</v>
      </c>
      <c r="J134" s="21">
        <f t="shared" si="59"/>
        <v>147625662</v>
      </c>
      <c r="K134" s="21">
        <f t="shared" si="59"/>
        <v>142461655</v>
      </c>
      <c r="L134" s="21">
        <f t="shared" si="59"/>
        <v>154058243</v>
      </c>
      <c r="M134" s="21">
        <f t="shared" si="59"/>
        <v>168521767</v>
      </c>
      <c r="N134" s="21">
        <f t="shared" si="59"/>
        <v>155561048</v>
      </c>
      <c r="O134" s="38" t="s">
        <v>12</v>
      </c>
    </row>
    <row r="135" spans="1:15" ht="162" customHeight="1" x14ac:dyDescent="0.25">
      <c r="A135" s="36"/>
      <c r="B135" s="20" t="s">
        <v>79</v>
      </c>
      <c r="C135" s="21">
        <f>SUM(D135:N135)</f>
        <v>1990775</v>
      </c>
      <c r="D135" s="21">
        <f>D132</f>
        <v>1990775</v>
      </c>
      <c r="E135" s="21">
        <f t="shared" ref="E135:N135" si="60">E132</f>
        <v>0</v>
      </c>
      <c r="F135" s="21">
        <f t="shared" si="60"/>
        <v>0</v>
      </c>
      <c r="G135" s="21">
        <f t="shared" si="60"/>
        <v>0</v>
      </c>
      <c r="H135" s="21">
        <f t="shared" si="60"/>
        <v>0</v>
      </c>
      <c r="I135" s="21">
        <f t="shared" si="60"/>
        <v>0</v>
      </c>
      <c r="J135" s="21">
        <f t="shared" si="60"/>
        <v>0</v>
      </c>
      <c r="K135" s="21">
        <f t="shared" si="60"/>
        <v>0</v>
      </c>
      <c r="L135" s="21">
        <f t="shared" si="60"/>
        <v>0</v>
      </c>
      <c r="M135" s="21">
        <f t="shared" si="60"/>
        <v>0</v>
      </c>
      <c r="N135" s="21">
        <f t="shared" si="60"/>
        <v>0</v>
      </c>
      <c r="O135" s="38"/>
    </row>
    <row r="136" spans="1:15" ht="102.75" customHeight="1" x14ac:dyDescent="0.25">
      <c r="A136" s="37"/>
      <c r="B136" s="14" t="s">
        <v>9</v>
      </c>
      <c r="C136" s="15">
        <f>SUM(D136:N136)</f>
        <v>1583110929.8</v>
      </c>
      <c r="D136" s="15">
        <f>D133-D138</f>
        <v>141073172.87</v>
      </c>
      <c r="E136" s="15">
        <f>E133-E138</f>
        <v>136021599.03999999</v>
      </c>
      <c r="F136" s="15">
        <f>F133-F138</f>
        <v>116127420.89</v>
      </c>
      <c r="G136" s="15">
        <f t="shared" ref="G136:N136" si="61">G133-G138</f>
        <v>130178224</v>
      </c>
      <c r="H136" s="15">
        <f t="shared" si="61"/>
        <v>144488161</v>
      </c>
      <c r="I136" s="15">
        <f t="shared" si="61"/>
        <v>146993977</v>
      </c>
      <c r="J136" s="15">
        <f t="shared" si="61"/>
        <v>147625662</v>
      </c>
      <c r="K136" s="15">
        <f t="shared" si="61"/>
        <v>142461655</v>
      </c>
      <c r="L136" s="15">
        <f t="shared" si="61"/>
        <v>154058243</v>
      </c>
      <c r="M136" s="15">
        <f t="shared" si="61"/>
        <v>168521767</v>
      </c>
      <c r="N136" s="15">
        <f t="shared" si="61"/>
        <v>155561048</v>
      </c>
      <c r="O136" s="39"/>
    </row>
    <row r="137" spans="1:15" ht="108.6" customHeight="1" x14ac:dyDescent="0.25">
      <c r="A137" s="36" t="s">
        <v>60</v>
      </c>
      <c r="B137" s="23" t="s">
        <v>6</v>
      </c>
      <c r="C137" s="24">
        <f>C138</f>
        <v>38280</v>
      </c>
      <c r="D137" s="24">
        <f t="shared" ref="D137:N137" si="62">D138</f>
        <v>12760</v>
      </c>
      <c r="E137" s="24">
        <f t="shared" si="62"/>
        <v>12760</v>
      </c>
      <c r="F137" s="24">
        <f t="shared" si="62"/>
        <v>12760</v>
      </c>
      <c r="G137" s="24">
        <f t="shared" si="62"/>
        <v>12760</v>
      </c>
      <c r="H137" s="24">
        <f t="shared" si="62"/>
        <v>12760</v>
      </c>
      <c r="I137" s="24">
        <f t="shared" si="62"/>
        <v>12760</v>
      </c>
      <c r="J137" s="24">
        <f t="shared" si="62"/>
        <v>12760</v>
      </c>
      <c r="K137" s="24">
        <f t="shared" si="62"/>
        <v>12760</v>
      </c>
      <c r="L137" s="24">
        <f t="shared" si="62"/>
        <v>12760</v>
      </c>
      <c r="M137" s="24">
        <f t="shared" si="62"/>
        <v>12760</v>
      </c>
      <c r="N137" s="24">
        <f t="shared" si="62"/>
        <v>12760</v>
      </c>
      <c r="O137" s="38" t="s">
        <v>12</v>
      </c>
    </row>
    <row r="138" spans="1:15" ht="92.25" x14ac:dyDescent="0.25">
      <c r="A138" s="37"/>
      <c r="B138" s="23" t="s">
        <v>9</v>
      </c>
      <c r="C138" s="24">
        <f t="shared" ref="C138" si="63">SUM(D138:F138)</f>
        <v>38280</v>
      </c>
      <c r="D138" s="24">
        <v>12760</v>
      </c>
      <c r="E138" s="24">
        <v>12760</v>
      </c>
      <c r="F138" s="24">
        <v>12760</v>
      </c>
      <c r="G138" s="24">
        <v>12760</v>
      </c>
      <c r="H138" s="24">
        <v>12760</v>
      </c>
      <c r="I138" s="24">
        <v>12760</v>
      </c>
      <c r="J138" s="24">
        <v>12760</v>
      </c>
      <c r="K138" s="24">
        <v>12760</v>
      </c>
      <c r="L138" s="24">
        <v>12760</v>
      </c>
      <c r="M138" s="24">
        <v>12760</v>
      </c>
      <c r="N138" s="24">
        <v>12760</v>
      </c>
      <c r="O138" s="39"/>
    </row>
    <row r="139" spans="1:15" ht="78" customHeight="1" x14ac:dyDescent="0.25">
      <c r="A139" s="36" t="s">
        <v>112</v>
      </c>
      <c r="B139" s="27" t="s">
        <v>6</v>
      </c>
      <c r="C139" s="28">
        <f>C140</f>
        <v>137010242.94999999</v>
      </c>
      <c r="D139" s="28">
        <f t="shared" ref="D139:N139" si="64">D140</f>
        <v>28495069.719999999</v>
      </c>
      <c r="E139" s="28">
        <f t="shared" si="64"/>
        <v>6627781.7800000003</v>
      </c>
      <c r="F139" s="28">
        <f t="shared" si="64"/>
        <v>33051208.449999999</v>
      </c>
      <c r="G139" s="28">
        <f t="shared" si="64"/>
        <v>7528945</v>
      </c>
      <c r="H139" s="28">
        <f t="shared" si="64"/>
        <v>8361709</v>
      </c>
      <c r="I139" s="28">
        <f t="shared" si="64"/>
        <v>8501267</v>
      </c>
      <c r="J139" s="28">
        <f t="shared" si="64"/>
        <v>8543200</v>
      </c>
      <c r="K139" s="28">
        <f t="shared" si="64"/>
        <v>8241282</v>
      </c>
      <c r="L139" s="28">
        <f t="shared" si="64"/>
        <v>8912075</v>
      </c>
      <c r="M139" s="28">
        <f t="shared" si="64"/>
        <v>9748702</v>
      </c>
      <c r="N139" s="28">
        <f t="shared" si="64"/>
        <v>8999003</v>
      </c>
      <c r="O139" s="38" t="s">
        <v>15</v>
      </c>
    </row>
    <row r="140" spans="1:15" ht="160.5" customHeight="1" x14ac:dyDescent="0.25">
      <c r="A140" s="37"/>
      <c r="B140" s="27" t="s">
        <v>9</v>
      </c>
      <c r="C140" s="28">
        <f>SUM(D140:N140)</f>
        <v>137010242.94999999</v>
      </c>
      <c r="D140" s="28">
        <f>D142+D144</f>
        <v>28495069.719999999</v>
      </c>
      <c r="E140" s="28">
        <f>E142+E144</f>
        <v>6627781.7800000003</v>
      </c>
      <c r="F140" s="28">
        <f>F142+F144</f>
        <v>33051208.449999999</v>
      </c>
      <c r="G140" s="28">
        <f t="shared" ref="G140:N140" si="65">G142+G144</f>
        <v>7528945</v>
      </c>
      <c r="H140" s="28">
        <f t="shared" si="65"/>
        <v>8361709</v>
      </c>
      <c r="I140" s="28">
        <f t="shared" si="65"/>
        <v>8501267</v>
      </c>
      <c r="J140" s="28">
        <f t="shared" si="65"/>
        <v>8543200</v>
      </c>
      <c r="K140" s="28">
        <f t="shared" si="65"/>
        <v>8241282</v>
      </c>
      <c r="L140" s="28">
        <f t="shared" si="65"/>
        <v>8912075</v>
      </c>
      <c r="M140" s="28">
        <f t="shared" si="65"/>
        <v>9748702</v>
      </c>
      <c r="N140" s="28">
        <f t="shared" si="65"/>
        <v>8999003</v>
      </c>
      <c r="O140" s="39"/>
    </row>
    <row r="141" spans="1:15" ht="69" customHeight="1" x14ac:dyDescent="0.25">
      <c r="A141" s="36" t="s">
        <v>61</v>
      </c>
      <c r="B141" s="27" t="s">
        <v>6</v>
      </c>
      <c r="C141" s="28">
        <f>C142</f>
        <v>88123476.5</v>
      </c>
      <c r="D141" s="28">
        <f t="shared" ref="D141:N141" si="66">D142</f>
        <v>6107475.5599999996</v>
      </c>
      <c r="E141" s="28">
        <f t="shared" si="66"/>
        <v>6627781.7800000003</v>
      </c>
      <c r="F141" s="28">
        <f t="shared" si="66"/>
        <v>6552036.1600000001</v>
      </c>
      <c r="G141" s="28">
        <f t="shared" si="66"/>
        <v>7528945</v>
      </c>
      <c r="H141" s="28">
        <f t="shared" si="66"/>
        <v>8361709</v>
      </c>
      <c r="I141" s="28">
        <f t="shared" si="66"/>
        <v>8501267</v>
      </c>
      <c r="J141" s="28">
        <f t="shared" si="66"/>
        <v>8543200</v>
      </c>
      <c r="K141" s="28">
        <f t="shared" si="66"/>
        <v>8241282</v>
      </c>
      <c r="L141" s="28">
        <f t="shared" si="66"/>
        <v>8912075</v>
      </c>
      <c r="M141" s="28">
        <f t="shared" si="66"/>
        <v>9748702</v>
      </c>
      <c r="N141" s="28">
        <f t="shared" si="66"/>
        <v>8999003</v>
      </c>
      <c r="O141" s="38" t="s">
        <v>15</v>
      </c>
    </row>
    <row r="142" spans="1:15" ht="186" customHeight="1" x14ac:dyDescent="0.25">
      <c r="A142" s="37"/>
      <c r="B142" s="27" t="s">
        <v>9</v>
      </c>
      <c r="C142" s="28">
        <f>SUM(D142:N142)</f>
        <v>88123476.5</v>
      </c>
      <c r="D142" s="28">
        <v>6107475.5599999996</v>
      </c>
      <c r="E142" s="28">
        <v>6627781.7800000003</v>
      </c>
      <c r="F142" s="28">
        <v>6552036.1600000001</v>
      </c>
      <c r="G142" s="28">
        <f>7528945</f>
        <v>7528945</v>
      </c>
      <c r="H142" s="28">
        <v>8361709</v>
      </c>
      <c r="I142" s="28">
        <v>8501267</v>
      </c>
      <c r="J142" s="28">
        <v>8543200</v>
      </c>
      <c r="K142" s="28">
        <v>8241282</v>
      </c>
      <c r="L142" s="28">
        <v>8912075</v>
      </c>
      <c r="M142" s="28">
        <v>9748702</v>
      </c>
      <c r="N142" s="28">
        <v>8999003</v>
      </c>
      <c r="O142" s="39"/>
    </row>
    <row r="143" spans="1:15" ht="97.15" customHeight="1" x14ac:dyDescent="0.25">
      <c r="A143" s="36" t="s">
        <v>62</v>
      </c>
      <c r="B143" s="14" t="s">
        <v>6</v>
      </c>
      <c r="C143" s="15">
        <f>C144</f>
        <v>48886766.450000003</v>
      </c>
      <c r="D143" s="15">
        <f t="shared" ref="D143:N143" si="67">D144</f>
        <v>22387594.16</v>
      </c>
      <c r="E143" s="15">
        <f t="shared" si="67"/>
        <v>0</v>
      </c>
      <c r="F143" s="15">
        <f t="shared" si="67"/>
        <v>26499172.289999999</v>
      </c>
      <c r="G143" s="15">
        <f t="shared" si="67"/>
        <v>0</v>
      </c>
      <c r="H143" s="15">
        <f t="shared" si="67"/>
        <v>0</v>
      </c>
      <c r="I143" s="15">
        <f t="shared" si="67"/>
        <v>0</v>
      </c>
      <c r="J143" s="15">
        <f t="shared" si="67"/>
        <v>0</v>
      </c>
      <c r="K143" s="15">
        <f t="shared" si="67"/>
        <v>0</v>
      </c>
      <c r="L143" s="15">
        <f t="shared" si="67"/>
        <v>0</v>
      </c>
      <c r="M143" s="15">
        <f t="shared" si="67"/>
        <v>0</v>
      </c>
      <c r="N143" s="15">
        <f t="shared" si="67"/>
        <v>0</v>
      </c>
      <c r="O143" s="38" t="s">
        <v>15</v>
      </c>
    </row>
    <row r="144" spans="1:15" ht="189.75" customHeight="1" x14ac:dyDescent="0.25">
      <c r="A144" s="37"/>
      <c r="B144" s="14" t="s">
        <v>9</v>
      </c>
      <c r="C144" s="15">
        <f>SUM(D144:N144)</f>
        <v>48886766.450000003</v>
      </c>
      <c r="D144" s="15">
        <v>22387594.16</v>
      </c>
      <c r="E144" s="15">
        <v>0</v>
      </c>
      <c r="F144" s="15">
        <v>26499172.289999999</v>
      </c>
      <c r="G144" s="15"/>
      <c r="H144" s="15"/>
      <c r="I144" s="15"/>
      <c r="J144" s="15"/>
      <c r="K144" s="15"/>
      <c r="L144" s="15"/>
      <c r="M144" s="15"/>
      <c r="N144" s="15"/>
      <c r="O144" s="39"/>
    </row>
    <row r="145" spans="1:15" ht="69" customHeight="1" x14ac:dyDescent="0.25">
      <c r="A145" s="36" t="s">
        <v>63</v>
      </c>
      <c r="B145" s="14" t="s">
        <v>6</v>
      </c>
      <c r="C145" s="15">
        <f>C146</f>
        <v>1766884365.8399999</v>
      </c>
      <c r="D145" s="15">
        <f t="shared" ref="D145:N145" si="68">D146</f>
        <v>157448780.94</v>
      </c>
      <c r="E145" s="15">
        <f t="shared" si="68"/>
        <v>160943558.49000001</v>
      </c>
      <c r="F145" s="15">
        <f t="shared" si="68"/>
        <v>160943558.49000001</v>
      </c>
      <c r="G145" s="15">
        <f t="shared" si="68"/>
        <v>160943558.49000001</v>
      </c>
      <c r="H145" s="15">
        <f t="shared" si="68"/>
        <v>160943558.49000001</v>
      </c>
      <c r="I145" s="15">
        <f t="shared" si="68"/>
        <v>160943558.49000001</v>
      </c>
      <c r="J145" s="15">
        <f t="shared" si="68"/>
        <v>160943558.49000001</v>
      </c>
      <c r="K145" s="15">
        <f t="shared" si="68"/>
        <v>160943558.49000001</v>
      </c>
      <c r="L145" s="15">
        <f t="shared" si="68"/>
        <v>160943558.49000001</v>
      </c>
      <c r="M145" s="15">
        <f t="shared" si="68"/>
        <v>160943558.49000001</v>
      </c>
      <c r="N145" s="15">
        <f t="shared" si="68"/>
        <v>160943558.49000001</v>
      </c>
      <c r="O145" s="38" t="s">
        <v>12</v>
      </c>
    </row>
    <row r="146" spans="1:15" ht="117.6" customHeight="1" x14ac:dyDescent="0.25">
      <c r="A146" s="37"/>
      <c r="B146" s="14" t="s">
        <v>9</v>
      </c>
      <c r="C146" s="15">
        <f>SUM(D146:N146)</f>
        <v>1766884365.8399999</v>
      </c>
      <c r="D146" s="15">
        <v>157448780.94</v>
      </c>
      <c r="E146" s="15">
        <v>160943558.49000001</v>
      </c>
      <c r="F146" s="15">
        <v>160943558.49000001</v>
      </c>
      <c r="G146" s="15">
        <v>160943558.49000001</v>
      </c>
      <c r="H146" s="15">
        <v>160943558.49000001</v>
      </c>
      <c r="I146" s="15">
        <v>160943558.49000001</v>
      </c>
      <c r="J146" s="15">
        <v>160943558.49000001</v>
      </c>
      <c r="K146" s="15">
        <v>160943558.49000001</v>
      </c>
      <c r="L146" s="15">
        <v>160943558.49000001</v>
      </c>
      <c r="M146" s="15">
        <v>160943558.49000001</v>
      </c>
      <c r="N146" s="15">
        <v>160943558.49000001</v>
      </c>
      <c r="O146" s="39"/>
    </row>
    <row r="147" spans="1:15" ht="61.5" x14ac:dyDescent="0.25">
      <c r="A147" s="36" t="s">
        <v>85</v>
      </c>
      <c r="B147" s="14" t="s">
        <v>6</v>
      </c>
      <c r="C147" s="15">
        <f>C148+C149+C150</f>
        <v>14933200</v>
      </c>
      <c r="D147" s="15">
        <f t="shared" ref="D147:G147" si="69">D148+D149+D150</f>
        <v>14933200</v>
      </c>
      <c r="E147" s="15">
        <f t="shared" si="69"/>
        <v>0</v>
      </c>
      <c r="F147" s="15">
        <f t="shared" si="69"/>
        <v>0</v>
      </c>
      <c r="G147" s="15">
        <f t="shared" si="69"/>
        <v>0</v>
      </c>
      <c r="H147" s="15">
        <f t="shared" ref="H147" si="70">H148+H149+H150</f>
        <v>0</v>
      </c>
      <c r="I147" s="15">
        <f t="shared" ref="I147" si="71">I148+I149+I150</f>
        <v>0</v>
      </c>
      <c r="J147" s="15">
        <f t="shared" ref="J147" si="72">J148+J149+J150</f>
        <v>0</v>
      </c>
      <c r="K147" s="15">
        <f t="shared" ref="K147" si="73">K148+K149+K150</f>
        <v>0</v>
      </c>
      <c r="L147" s="15">
        <f t="shared" ref="L147" si="74">L148+L149+L150</f>
        <v>0</v>
      </c>
      <c r="M147" s="15">
        <f t="shared" ref="M147" si="75">M148+M149+M150</f>
        <v>0</v>
      </c>
      <c r="N147" s="15">
        <f t="shared" ref="N147" si="76">N148+N149+N150</f>
        <v>0</v>
      </c>
      <c r="O147" s="38" t="s">
        <v>12</v>
      </c>
    </row>
    <row r="148" spans="1:15" ht="153.75" x14ac:dyDescent="0.25">
      <c r="A148" s="36"/>
      <c r="B148" s="14" t="s">
        <v>80</v>
      </c>
      <c r="C148" s="15">
        <f t="shared" ref="C148:C149" si="77">SUM(D148:N148)</f>
        <v>5173300</v>
      </c>
      <c r="D148" s="15">
        <v>5173300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38"/>
    </row>
    <row r="149" spans="1:15" ht="153.75" x14ac:dyDescent="0.25">
      <c r="A149" s="36"/>
      <c r="B149" s="14" t="s">
        <v>79</v>
      </c>
      <c r="C149" s="15">
        <f t="shared" si="77"/>
        <v>8091600</v>
      </c>
      <c r="D149" s="15">
        <v>8091600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38"/>
    </row>
    <row r="150" spans="1:15" ht="116.45" customHeight="1" x14ac:dyDescent="0.25">
      <c r="A150" s="37"/>
      <c r="B150" s="14" t="s">
        <v>9</v>
      </c>
      <c r="C150" s="15">
        <f>SUM(D150:N150)</f>
        <v>1668300</v>
      </c>
      <c r="D150" s="15">
        <v>1668300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39"/>
    </row>
    <row r="151" spans="1:15" s="5" customFormat="1" ht="51" customHeight="1" x14ac:dyDescent="0.25">
      <c r="A151" s="40" t="s">
        <v>86</v>
      </c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2"/>
    </row>
    <row r="152" spans="1:15" s="5" customFormat="1" ht="75.75" customHeight="1" x14ac:dyDescent="0.25">
      <c r="A152" s="36" t="s">
        <v>113</v>
      </c>
      <c r="B152" s="32" t="s">
        <v>6</v>
      </c>
      <c r="C152" s="34">
        <f t="shared" ref="C152:N152" si="78">C153</f>
        <v>15600000</v>
      </c>
      <c r="D152" s="15">
        <f t="shared" si="78"/>
        <v>0</v>
      </c>
      <c r="E152" s="15">
        <f t="shared" si="78"/>
        <v>12000000</v>
      </c>
      <c r="F152" s="15">
        <f t="shared" si="78"/>
        <v>3600000</v>
      </c>
      <c r="G152" s="15">
        <f t="shared" si="78"/>
        <v>0</v>
      </c>
      <c r="H152" s="15">
        <f t="shared" si="78"/>
        <v>0</v>
      </c>
      <c r="I152" s="15">
        <f t="shared" si="78"/>
        <v>0</v>
      </c>
      <c r="J152" s="15">
        <f t="shared" si="78"/>
        <v>0</v>
      </c>
      <c r="K152" s="15">
        <f t="shared" si="78"/>
        <v>0</v>
      </c>
      <c r="L152" s="15">
        <f t="shared" si="78"/>
        <v>0</v>
      </c>
      <c r="M152" s="15">
        <f t="shared" si="78"/>
        <v>0</v>
      </c>
      <c r="N152" s="15">
        <f t="shared" si="78"/>
        <v>0</v>
      </c>
      <c r="O152" s="38" t="s">
        <v>18</v>
      </c>
    </row>
    <row r="153" spans="1:15" s="5" customFormat="1" ht="92.25" x14ac:dyDescent="0.25">
      <c r="A153" s="37"/>
      <c r="B153" s="32" t="s">
        <v>9</v>
      </c>
      <c r="C153" s="34">
        <f>SUM(D153:N153)</f>
        <v>15600000</v>
      </c>
      <c r="D153" s="12">
        <f>D155</f>
        <v>0</v>
      </c>
      <c r="E153" s="15">
        <f t="shared" ref="E153:N153" si="79">E155</f>
        <v>12000000</v>
      </c>
      <c r="F153" s="15">
        <f t="shared" si="79"/>
        <v>3600000</v>
      </c>
      <c r="G153" s="15">
        <f t="shared" si="79"/>
        <v>0</v>
      </c>
      <c r="H153" s="15">
        <f t="shared" si="79"/>
        <v>0</v>
      </c>
      <c r="I153" s="15">
        <f t="shared" si="79"/>
        <v>0</v>
      </c>
      <c r="J153" s="15">
        <f t="shared" si="79"/>
        <v>0</v>
      </c>
      <c r="K153" s="15">
        <f t="shared" si="79"/>
        <v>0</v>
      </c>
      <c r="L153" s="15">
        <f t="shared" si="79"/>
        <v>0</v>
      </c>
      <c r="M153" s="15">
        <f t="shared" si="79"/>
        <v>0</v>
      </c>
      <c r="N153" s="12">
        <f t="shared" si="79"/>
        <v>0</v>
      </c>
      <c r="O153" s="39"/>
    </row>
    <row r="154" spans="1:15" s="5" customFormat="1" ht="73.150000000000006" customHeight="1" x14ac:dyDescent="0.25">
      <c r="A154" s="36" t="s">
        <v>87</v>
      </c>
      <c r="B154" s="32" t="s">
        <v>6</v>
      </c>
      <c r="C154" s="34">
        <f t="shared" ref="C154" si="80">C155</f>
        <v>15600000</v>
      </c>
      <c r="D154" s="24">
        <f t="shared" ref="D154" si="81">D155</f>
        <v>0</v>
      </c>
      <c r="E154" s="24">
        <f t="shared" ref="E154" si="82">E155</f>
        <v>12000000</v>
      </c>
      <c r="F154" s="24">
        <f t="shared" ref="F154" si="83">F155</f>
        <v>3600000</v>
      </c>
      <c r="G154" s="24">
        <f t="shared" ref="G154" si="84">G155</f>
        <v>0</v>
      </c>
      <c r="H154" s="24">
        <f t="shared" ref="H154" si="85">H155</f>
        <v>0</v>
      </c>
      <c r="I154" s="24">
        <f t="shared" ref="I154" si="86">I155</f>
        <v>0</v>
      </c>
      <c r="J154" s="24">
        <f t="shared" ref="J154" si="87">J155</f>
        <v>0</v>
      </c>
      <c r="K154" s="24">
        <f t="shared" ref="K154" si="88">K155</f>
        <v>0</v>
      </c>
      <c r="L154" s="24">
        <f t="shared" ref="L154" si="89">L155</f>
        <v>0</v>
      </c>
      <c r="M154" s="24">
        <f t="shared" ref="M154" si="90">M155</f>
        <v>0</v>
      </c>
      <c r="N154" s="24">
        <f t="shared" ref="N154" si="91">N155</f>
        <v>0</v>
      </c>
      <c r="O154" s="38" t="s">
        <v>18</v>
      </c>
    </row>
    <row r="155" spans="1:15" s="5" customFormat="1" ht="120.6" customHeight="1" x14ac:dyDescent="0.25">
      <c r="A155" s="37"/>
      <c r="B155" s="32" t="s">
        <v>9</v>
      </c>
      <c r="C155" s="34">
        <f>SUM(D155:N155)</f>
        <v>15600000</v>
      </c>
      <c r="D155" s="22"/>
      <c r="E155" s="24">
        <v>12000000</v>
      </c>
      <c r="F155" s="24">
        <v>3600000</v>
      </c>
      <c r="G155" s="22"/>
      <c r="H155" s="22"/>
      <c r="I155" s="22"/>
      <c r="J155" s="22"/>
      <c r="K155" s="22"/>
      <c r="L155" s="22"/>
      <c r="M155" s="22"/>
      <c r="N155" s="22"/>
      <c r="O155" s="39"/>
    </row>
    <row r="156" spans="1:15" s="5" customFormat="1" ht="61.5" x14ac:dyDescent="0.25">
      <c r="A156" s="36" t="s">
        <v>114</v>
      </c>
      <c r="B156" s="32" t="s">
        <v>6</v>
      </c>
      <c r="C156" s="34">
        <f t="shared" ref="C156" si="92">C157</f>
        <v>80000000</v>
      </c>
      <c r="D156" s="15">
        <f t="shared" ref="D156" si="93">D157</f>
        <v>0</v>
      </c>
      <c r="E156" s="15">
        <f t="shared" ref="E156" si="94">E157</f>
        <v>80000000</v>
      </c>
      <c r="F156" s="15">
        <f t="shared" ref="F156" si="95">F157</f>
        <v>0</v>
      </c>
      <c r="G156" s="15">
        <f t="shared" ref="G156" si="96">G157</f>
        <v>0</v>
      </c>
      <c r="H156" s="15">
        <f t="shared" ref="H156" si="97">H157</f>
        <v>0</v>
      </c>
      <c r="I156" s="15">
        <f t="shared" ref="I156" si="98">I157</f>
        <v>0</v>
      </c>
      <c r="J156" s="15">
        <f t="shared" ref="J156" si="99">J157</f>
        <v>0</v>
      </c>
      <c r="K156" s="15">
        <f t="shared" ref="K156" si="100">K157</f>
        <v>0</v>
      </c>
      <c r="L156" s="15">
        <f t="shared" ref="L156" si="101">L157</f>
        <v>0</v>
      </c>
      <c r="M156" s="15">
        <f t="shared" ref="M156" si="102">M157</f>
        <v>0</v>
      </c>
      <c r="N156" s="15">
        <f t="shared" ref="N156" si="103">N157</f>
        <v>0</v>
      </c>
      <c r="O156" s="38" t="s">
        <v>18</v>
      </c>
    </row>
    <row r="157" spans="1:15" s="5" customFormat="1" ht="92.25" x14ac:dyDescent="0.25">
      <c r="A157" s="37"/>
      <c r="B157" s="32" t="s">
        <v>9</v>
      </c>
      <c r="C157" s="34">
        <f>SUM(D157:N157)</f>
        <v>80000000</v>
      </c>
      <c r="D157" s="12">
        <f>D159</f>
        <v>0</v>
      </c>
      <c r="E157" s="15">
        <f t="shared" ref="E157:N157" si="104">E159</f>
        <v>80000000</v>
      </c>
      <c r="F157" s="12">
        <f t="shared" si="104"/>
        <v>0</v>
      </c>
      <c r="G157" s="12">
        <f t="shared" si="104"/>
        <v>0</v>
      </c>
      <c r="H157" s="12">
        <f t="shared" si="104"/>
        <v>0</v>
      </c>
      <c r="I157" s="12">
        <f t="shared" si="104"/>
        <v>0</v>
      </c>
      <c r="J157" s="12">
        <f t="shared" si="104"/>
        <v>0</v>
      </c>
      <c r="K157" s="12">
        <f t="shared" si="104"/>
        <v>0</v>
      </c>
      <c r="L157" s="12">
        <f t="shared" si="104"/>
        <v>0</v>
      </c>
      <c r="M157" s="12">
        <f t="shared" si="104"/>
        <v>0</v>
      </c>
      <c r="N157" s="12">
        <f t="shared" si="104"/>
        <v>0</v>
      </c>
      <c r="O157" s="39"/>
    </row>
    <row r="158" spans="1:15" s="5" customFormat="1" ht="61.5" x14ac:dyDescent="0.25">
      <c r="A158" s="36" t="s">
        <v>88</v>
      </c>
      <c r="B158" s="27" t="s">
        <v>6</v>
      </c>
      <c r="C158" s="28">
        <f t="shared" ref="C158" si="105">C159</f>
        <v>80000000</v>
      </c>
      <c r="D158" s="28">
        <f t="shared" ref="D158" si="106">D159</f>
        <v>0</v>
      </c>
      <c r="E158" s="28">
        <f t="shared" ref="E158" si="107">E159</f>
        <v>80000000</v>
      </c>
      <c r="F158" s="28">
        <f t="shared" ref="F158" si="108">F159</f>
        <v>0</v>
      </c>
      <c r="G158" s="28">
        <f t="shared" ref="G158" si="109">G159</f>
        <v>0</v>
      </c>
      <c r="H158" s="28">
        <f t="shared" ref="H158" si="110">H159</f>
        <v>0</v>
      </c>
      <c r="I158" s="15">
        <f t="shared" ref="I158" si="111">I159</f>
        <v>0</v>
      </c>
      <c r="J158" s="15">
        <f t="shared" ref="J158" si="112">J159</f>
        <v>0</v>
      </c>
      <c r="K158" s="15">
        <f t="shared" ref="K158" si="113">K159</f>
        <v>0</v>
      </c>
      <c r="L158" s="15">
        <f t="shared" ref="L158" si="114">L159</f>
        <v>0</v>
      </c>
      <c r="M158" s="15">
        <f t="shared" ref="M158" si="115">M159</f>
        <v>0</v>
      </c>
      <c r="N158" s="15">
        <f t="shared" ref="N158" si="116">N159</f>
        <v>0</v>
      </c>
      <c r="O158" s="38" t="s">
        <v>18</v>
      </c>
    </row>
    <row r="159" spans="1:15" s="5" customFormat="1" ht="129" customHeight="1" x14ac:dyDescent="0.25">
      <c r="A159" s="37"/>
      <c r="B159" s="27" t="s">
        <v>9</v>
      </c>
      <c r="C159" s="28">
        <f>SUM(D159:N159)</f>
        <v>80000000</v>
      </c>
      <c r="D159" s="22"/>
      <c r="E159" s="28">
        <v>80000000</v>
      </c>
      <c r="F159" s="22"/>
      <c r="G159" s="22"/>
      <c r="H159" s="22"/>
      <c r="I159" s="12"/>
      <c r="J159" s="12"/>
      <c r="K159" s="12"/>
      <c r="L159" s="12"/>
      <c r="M159" s="12"/>
      <c r="N159" s="12"/>
      <c r="O159" s="39"/>
    </row>
    <row r="160" spans="1:15" ht="63.6" customHeight="1" x14ac:dyDescent="0.25">
      <c r="A160" s="36" t="s">
        <v>19</v>
      </c>
      <c r="B160" s="27" t="s">
        <v>6</v>
      </c>
      <c r="C160" s="28">
        <f>C163+C161+C162</f>
        <v>3599669873.5900002</v>
      </c>
      <c r="D160" s="28">
        <f t="shared" ref="D160:N160" si="117">D163+D161+D162</f>
        <v>343953758.52999997</v>
      </c>
      <c r="E160" s="28">
        <f t="shared" si="117"/>
        <v>395605699.31</v>
      </c>
      <c r="F160" s="28">
        <f t="shared" si="117"/>
        <v>313734947.82999998</v>
      </c>
      <c r="G160" s="28">
        <f t="shared" si="117"/>
        <v>298663487.49000001</v>
      </c>
      <c r="H160" s="28">
        <f t="shared" si="117"/>
        <v>313806188.49000001</v>
      </c>
      <c r="I160" s="15">
        <f t="shared" si="117"/>
        <v>316451562.49000001</v>
      </c>
      <c r="J160" s="15">
        <f t="shared" si="117"/>
        <v>317125180.49000001</v>
      </c>
      <c r="K160" s="15">
        <f t="shared" si="117"/>
        <v>311659255.49000001</v>
      </c>
      <c r="L160" s="15">
        <f t="shared" si="117"/>
        <v>323926636.49000001</v>
      </c>
      <c r="M160" s="15">
        <f t="shared" si="117"/>
        <v>339226787.49000001</v>
      </c>
      <c r="N160" s="15">
        <f t="shared" si="117"/>
        <v>325516369.49000001</v>
      </c>
      <c r="O160" s="16" t="s">
        <v>17</v>
      </c>
    </row>
    <row r="161" spans="1:15" ht="153.75" x14ac:dyDescent="0.25">
      <c r="A161" s="36"/>
      <c r="B161" s="27" t="s">
        <v>80</v>
      </c>
      <c r="C161" s="28">
        <f t="shared" ref="C161:C162" si="118">SUM(D161:N161)</f>
        <v>5173300</v>
      </c>
      <c r="D161" s="28">
        <f>D148</f>
        <v>5173300</v>
      </c>
      <c r="E161" s="28"/>
      <c r="F161" s="28"/>
      <c r="G161" s="28"/>
      <c r="H161" s="28"/>
      <c r="I161" s="15"/>
      <c r="J161" s="15"/>
      <c r="K161" s="15"/>
      <c r="L161" s="15"/>
      <c r="M161" s="15"/>
      <c r="N161" s="15"/>
      <c r="O161" s="16" t="s">
        <v>17</v>
      </c>
    </row>
    <row r="162" spans="1:15" ht="153.75" x14ac:dyDescent="0.25">
      <c r="A162" s="36"/>
      <c r="B162" s="27" t="s">
        <v>79</v>
      </c>
      <c r="C162" s="28">
        <f t="shared" si="118"/>
        <v>10082375</v>
      </c>
      <c r="D162" s="28">
        <f>D149+D132</f>
        <v>10082375</v>
      </c>
      <c r="E162" s="28">
        <f t="shared" ref="E162:N162" si="119">E149+E132</f>
        <v>0</v>
      </c>
      <c r="F162" s="28">
        <f t="shared" si="119"/>
        <v>0</v>
      </c>
      <c r="G162" s="28">
        <f t="shared" si="119"/>
        <v>0</v>
      </c>
      <c r="H162" s="28">
        <f t="shared" si="119"/>
        <v>0</v>
      </c>
      <c r="I162" s="21">
        <f t="shared" si="119"/>
        <v>0</v>
      </c>
      <c r="J162" s="21">
        <f t="shared" si="119"/>
        <v>0</v>
      </c>
      <c r="K162" s="21">
        <f t="shared" si="119"/>
        <v>0</v>
      </c>
      <c r="L162" s="21">
        <f t="shared" si="119"/>
        <v>0</v>
      </c>
      <c r="M162" s="21">
        <f t="shared" si="119"/>
        <v>0</v>
      </c>
      <c r="N162" s="21">
        <f t="shared" si="119"/>
        <v>0</v>
      </c>
      <c r="O162" s="16" t="s">
        <v>17</v>
      </c>
    </row>
    <row r="163" spans="1:15" ht="92.25" x14ac:dyDescent="0.25">
      <c r="A163" s="37"/>
      <c r="B163" s="27" t="s">
        <v>9</v>
      </c>
      <c r="C163" s="28">
        <f>SUM(D163:N163)</f>
        <v>3584414198.5900002</v>
      </c>
      <c r="D163" s="28">
        <f>D146+D140+D133+D150+D153+D157</f>
        <v>328698083.52999997</v>
      </c>
      <c r="E163" s="28">
        <f t="shared" ref="E163:N163" si="120">E146+E140+E133+E150+E153+E157</f>
        <v>395605699.31</v>
      </c>
      <c r="F163" s="28">
        <f t="shared" si="120"/>
        <v>313734947.82999998</v>
      </c>
      <c r="G163" s="28">
        <f t="shared" si="120"/>
        <v>298663487.49000001</v>
      </c>
      <c r="H163" s="28">
        <f t="shared" si="120"/>
        <v>313806188.49000001</v>
      </c>
      <c r="I163" s="15">
        <f t="shared" si="120"/>
        <v>316451562.49000001</v>
      </c>
      <c r="J163" s="15">
        <f t="shared" si="120"/>
        <v>317125180.49000001</v>
      </c>
      <c r="K163" s="15">
        <f t="shared" si="120"/>
        <v>311659255.49000001</v>
      </c>
      <c r="L163" s="15">
        <f t="shared" si="120"/>
        <v>323926636.49000001</v>
      </c>
      <c r="M163" s="15">
        <f t="shared" si="120"/>
        <v>339226787.49000001</v>
      </c>
      <c r="N163" s="15">
        <f t="shared" si="120"/>
        <v>325516369.49000001</v>
      </c>
      <c r="O163" s="16" t="s">
        <v>17</v>
      </c>
    </row>
    <row r="164" spans="1:15" ht="42.6" customHeight="1" x14ac:dyDescent="0.25">
      <c r="A164" s="36" t="s">
        <v>64</v>
      </c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</row>
    <row r="165" spans="1:15" s="5" customFormat="1" ht="35.450000000000003" customHeight="1" x14ac:dyDescent="0.25">
      <c r="A165" s="40" t="s">
        <v>65</v>
      </c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2"/>
    </row>
    <row r="166" spans="1:15" ht="86.45" customHeight="1" x14ac:dyDescent="0.25">
      <c r="A166" s="36" t="s">
        <v>66</v>
      </c>
      <c r="B166" s="14" t="s">
        <v>6</v>
      </c>
      <c r="C166" s="15">
        <f>C167+C168</f>
        <v>551349975.38</v>
      </c>
      <c r="D166" s="15">
        <f t="shared" ref="D166:N166" si="121">D167+D168</f>
        <v>37250500.539999999</v>
      </c>
      <c r="E166" s="15">
        <f t="shared" si="121"/>
        <v>50169280.920000002</v>
      </c>
      <c r="F166" s="15">
        <f t="shared" si="121"/>
        <v>50169280.920000002</v>
      </c>
      <c r="G166" s="15">
        <f t="shared" si="121"/>
        <v>50327789</v>
      </c>
      <c r="H166" s="15">
        <f t="shared" si="121"/>
        <v>52785546</v>
      </c>
      <c r="I166" s="15">
        <f t="shared" si="121"/>
        <v>53161348</v>
      </c>
      <c r="J166" s="15">
        <f t="shared" si="121"/>
        <v>53241324</v>
      </c>
      <c r="K166" s="15">
        <f t="shared" si="121"/>
        <v>50794627</v>
      </c>
      <c r="L166" s="15">
        <f t="shared" si="121"/>
        <v>34190637</v>
      </c>
      <c r="M166" s="15">
        <f t="shared" si="121"/>
        <v>60753983</v>
      </c>
      <c r="N166" s="15">
        <f t="shared" si="121"/>
        <v>58505659</v>
      </c>
      <c r="O166" s="38" t="s">
        <v>12</v>
      </c>
    </row>
    <row r="167" spans="1:15" ht="199.5" customHeight="1" x14ac:dyDescent="0.25">
      <c r="A167" s="37"/>
      <c r="B167" s="14" t="s">
        <v>79</v>
      </c>
      <c r="C167" s="15">
        <f>SUM(D167:N167)</f>
        <v>307754543.13999999</v>
      </c>
      <c r="D167" s="15">
        <v>15336971.199999999</v>
      </c>
      <c r="E167" s="15">
        <v>30519931.969999999</v>
      </c>
      <c r="F167" s="15">
        <v>30519931.969999999</v>
      </c>
      <c r="G167" s="15">
        <v>27748722</v>
      </c>
      <c r="H167" s="15">
        <v>27709046</v>
      </c>
      <c r="I167" s="15">
        <v>27666318</v>
      </c>
      <c r="J167" s="15">
        <v>27620538</v>
      </c>
      <c r="K167" s="15">
        <v>26079282</v>
      </c>
      <c r="L167" s="15">
        <v>31517934</v>
      </c>
      <c r="M167" s="15">
        <v>31517934</v>
      </c>
      <c r="N167" s="15">
        <v>31517934</v>
      </c>
      <c r="O167" s="39"/>
    </row>
    <row r="168" spans="1:15" ht="177" customHeight="1" x14ac:dyDescent="0.25">
      <c r="A168" s="37"/>
      <c r="B168" s="14" t="s">
        <v>9</v>
      </c>
      <c r="C168" s="15">
        <f>SUM(D168:N168)</f>
        <v>243595432.24000001</v>
      </c>
      <c r="D168" s="15">
        <v>21913529.34</v>
      </c>
      <c r="E168" s="15">
        <v>19649348.949999999</v>
      </c>
      <c r="F168" s="15">
        <v>19649348.949999999</v>
      </c>
      <c r="G168" s="15">
        <f>22579067</f>
        <v>22579067</v>
      </c>
      <c r="H168" s="15">
        <v>25076500</v>
      </c>
      <c r="I168" s="15">
        <v>25495030</v>
      </c>
      <c r="J168" s="15">
        <v>25620786</v>
      </c>
      <c r="K168" s="15">
        <v>24715345</v>
      </c>
      <c r="L168" s="15">
        <v>2672703</v>
      </c>
      <c r="M168" s="15">
        <v>29236049</v>
      </c>
      <c r="N168" s="15">
        <v>26987725</v>
      </c>
      <c r="O168" s="39"/>
    </row>
    <row r="169" spans="1:15" ht="91.15" customHeight="1" x14ac:dyDescent="0.25">
      <c r="A169" s="36" t="s">
        <v>115</v>
      </c>
      <c r="B169" s="14" t="s">
        <v>6</v>
      </c>
      <c r="C169" s="15">
        <f>C170+C171</f>
        <v>73697185</v>
      </c>
      <c r="D169" s="15">
        <f t="shared" ref="D169:N169" si="122">D170+D171</f>
        <v>4499813.18</v>
      </c>
      <c r="E169" s="15">
        <f t="shared" si="122"/>
        <v>6181252.4100000001</v>
      </c>
      <c r="F169" s="15">
        <f t="shared" si="122"/>
        <v>6181252.4100000001</v>
      </c>
      <c r="G169" s="15">
        <f t="shared" si="122"/>
        <v>6438032</v>
      </c>
      <c r="H169" s="15">
        <f t="shared" si="122"/>
        <v>6867828</v>
      </c>
      <c r="I169" s="15">
        <f t="shared" si="122"/>
        <v>6936579</v>
      </c>
      <c r="J169" s="15">
        <f t="shared" si="122"/>
        <v>6954246</v>
      </c>
      <c r="K169" s="15">
        <f t="shared" si="122"/>
        <v>6657165</v>
      </c>
      <c r="L169" s="15">
        <f t="shared" si="122"/>
        <v>7500122</v>
      </c>
      <c r="M169" s="15">
        <f t="shared" si="122"/>
        <v>7935532</v>
      </c>
      <c r="N169" s="15">
        <f t="shared" si="122"/>
        <v>7545363</v>
      </c>
      <c r="O169" s="38" t="s">
        <v>12</v>
      </c>
    </row>
    <row r="170" spans="1:15" ht="181.9" customHeight="1" x14ac:dyDescent="0.25">
      <c r="A170" s="37"/>
      <c r="B170" s="14" t="s">
        <v>79</v>
      </c>
      <c r="C170" s="15">
        <f>SUM(D170:N170)</f>
        <v>27642694.710000001</v>
      </c>
      <c r="D170" s="15">
        <v>1089903.75</v>
      </c>
      <c r="E170" s="15">
        <v>2771342.98</v>
      </c>
      <c r="F170" s="15">
        <v>2771342.98</v>
      </c>
      <c r="G170" s="15">
        <v>2519705</v>
      </c>
      <c r="H170" s="15">
        <v>2516102</v>
      </c>
      <c r="I170" s="15">
        <v>2512222</v>
      </c>
      <c r="J170" s="15">
        <v>2508065</v>
      </c>
      <c r="K170" s="15">
        <v>2368113</v>
      </c>
      <c r="L170" s="15">
        <v>2861966</v>
      </c>
      <c r="M170" s="15">
        <v>2861966</v>
      </c>
      <c r="N170" s="15">
        <v>2861966</v>
      </c>
      <c r="O170" s="39"/>
    </row>
    <row r="171" spans="1:15" ht="107.45" customHeight="1" x14ac:dyDescent="0.25">
      <c r="A171" s="37"/>
      <c r="B171" s="14" t="s">
        <v>9</v>
      </c>
      <c r="C171" s="15">
        <f>SUM(D171:N171)</f>
        <v>46054490.289999999</v>
      </c>
      <c r="D171" s="15">
        <v>3409909.43</v>
      </c>
      <c r="E171" s="15">
        <v>3409909.43</v>
      </c>
      <c r="F171" s="15">
        <v>3409909.43</v>
      </c>
      <c r="G171" s="15">
        <f>3918327</f>
        <v>3918327</v>
      </c>
      <c r="H171" s="15">
        <v>4351726</v>
      </c>
      <c r="I171" s="15">
        <v>4424357</v>
      </c>
      <c r="J171" s="15">
        <v>4446181</v>
      </c>
      <c r="K171" s="15">
        <v>4289052</v>
      </c>
      <c r="L171" s="15">
        <v>4638156</v>
      </c>
      <c r="M171" s="15">
        <v>5073566</v>
      </c>
      <c r="N171" s="15">
        <v>4683397</v>
      </c>
      <c r="O171" s="39"/>
    </row>
    <row r="172" spans="1:15" ht="61.5" x14ac:dyDescent="0.25">
      <c r="A172" s="36" t="s">
        <v>84</v>
      </c>
      <c r="B172" s="32" t="s">
        <v>6</v>
      </c>
      <c r="C172" s="34">
        <f>C173+C174</f>
        <v>1082867714.7</v>
      </c>
      <c r="D172" s="24">
        <f t="shared" ref="D172:N172" si="123">D173+D174</f>
        <v>54659706.700000003</v>
      </c>
      <c r="E172" s="24">
        <f t="shared" si="123"/>
        <v>106810200</v>
      </c>
      <c r="F172" s="24">
        <f t="shared" si="123"/>
        <v>106926120</v>
      </c>
      <c r="G172" s="24">
        <f t="shared" si="123"/>
        <v>98253905</v>
      </c>
      <c r="H172" s="24">
        <f t="shared" si="123"/>
        <v>98133708</v>
      </c>
      <c r="I172" s="24">
        <f t="shared" si="123"/>
        <v>98004265</v>
      </c>
      <c r="J172" s="24">
        <f t="shared" si="123"/>
        <v>97865576</v>
      </c>
      <c r="K172" s="24">
        <f t="shared" si="123"/>
        <v>93196386</v>
      </c>
      <c r="L172" s="24">
        <f t="shared" si="123"/>
        <v>109672616</v>
      </c>
      <c r="M172" s="24">
        <f t="shared" si="123"/>
        <v>109672616</v>
      </c>
      <c r="N172" s="24">
        <f t="shared" si="123"/>
        <v>109672616</v>
      </c>
      <c r="O172" s="38" t="s">
        <v>12</v>
      </c>
    </row>
    <row r="173" spans="1:15" ht="153.75" x14ac:dyDescent="0.25">
      <c r="A173" s="37"/>
      <c r="B173" s="32" t="s">
        <v>79</v>
      </c>
      <c r="C173" s="34">
        <f>SUM(D173:N173)</f>
        <v>1073929088</v>
      </c>
      <c r="D173" s="24">
        <f>D176+D179</f>
        <v>46159000</v>
      </c>
      <c r="E173" s="24">
        <f t="shared" ref="E173:N173" si="124">E176+E179</f>
        <v>106649200</v>
      </c>
      <c r="F173" s="24">
        <f t="shared" si="124"/>
        <v>106649200</v>
      </c>
      <c r="G173" s="24">
        <f t="shared" si="124"/>
        <v>98253905</v>
      </c>
      <c r="H173" s="24">
        <f t="shared" si="124"/>
        <v>98133708</v>
      </c>
      <c r="I173" s="24">
        <f t="shared" si="124"/>
        <v>98004265</v>
      </c>
      <c r="J173" s="24">
        <f t="shared" si="124"/>
        <v>97865576</v>
      </c>
      <c r="K173" s="24">
        <f t="shared" si="124"/>
        <v>93196386</v>
      </c>
      <c r="L173" s="24">
        <f t="shared" si="124"/>
        <v>109672616</v>
      </c>
      <c r="M173" s="24">
        <f t="shared" si="124"/>
        <v>109672616</v>
      </c>
      <c r="N173" s="24">
        <f t="shared" si="124"/>
        <v>109672616</v>
      </c>
      <c r="O173" s="39"/>
    </row>
    <row r="174" spans="1:15" ht="92.25" x14ac:dyDescent="0.25">
      <c r="A174" s="37"/>
      <c r="B174" s="32" t="s">
        <v>9</v>
      </c>
      <c r="C174" s="34">
        <f t="shared" ref="C174:C177" si="125">SUM(D174:N174)</f>
        <v>8938626.6999999993</v>
      </c>
      <c r="D174" s="24">
        <f>D177+D181</f>
        <v>8500706.6999999993</v>
      </c>
      <c r="E174" s="24">
        <f t="shared" ref="E174:N174" si="126">E177+E181</f>
        <v>161000</v>
      </c>
      <c r="F174" s="24">
        <f t="shared" si="126"/>
        <v>276920</v>
      </c>
      <c r="G174" s="24">
        <f t="shared" si="126"/>
        <v>0</v>
      </c>
      <c r="H174" s="24">
        <f t="shared" si="126"/>
        <v>0</v>
      </c>
      <c r="I174" s="24">
        <f t="shared" si="126"/>
        <v>0</v>
      </c>
      <c r="J174" s="24">
        <f t="shared" si="126"/>
        <v>0</v>
      </c>
      <c r="K174" s="24">
        <f t="shared" si="126"/>
        <v>0</v>
      </c>
      <c r="L174" s="24">
        <f t="shared" si="126"/>
        <v>0</v>
      </c>
      <c r="M174" s="24">
        <f t="shared" si="126"/>
        <v>0</v>
      </c>
      <c r="N174" s="24">
        <f t="shared" si="126"/>
        <v>0</v>
      </c>
      <c r="O174" s="39"/>
    </row>
    <row r="175" spans="1:15" ht="61.5" x14ac:dyDescent="0.25">
      <c r="A175" s="36" t="s">
        <v>96</v>
      </c>
      <c r="B175" s="32" t="s">
        <v>6</v>
      </c>
      <c r="C175" s="34">
        <f>C176+C177</f>
        <v>918364800</v>
      </c>
      <c r="D175" s="28">
        <f t="shared" ref="D175:N175" si="127">D176+D177</f>
        <v>32056792</v>
      </c>
      <c r="E175" s="28">
        <f t="shared" si="127"/>
        <v>92620200</v>
      </c>
      <c r="F175" s="28">
        <f t="shared" si="127"/>
        <v>92736120</v>
      </c>
      <c r="G175" s="28">
        <f t="shared" si="127"/>
        <v>84063905</v>
      </c>
      <c r="H175" s="28">
        <f t="shared" si="127"/>
        <v>83943708</v>
      </c>
      <c r="I175" s="15">
        <f t="shared" si="127"/>
        <v>83814265</v>
      </c>
      <c r="J175" s="15">
        <f t="shared" si="127"/>
        <v>83675576</v>
      </c>
      <c r="K175" s="15">
        <f t="shared" si="127"/>
        <v>79006386</v>
      </c>
      <c r="L175" s="15">
        <f t="shared" si="127"/>
        <v>95482616</v>
      </c>
      <c r="M175" s="15">
        <f t="shared" si="127"/>
        <v>95482616</v>
      </c>
      <c r="N175" s="15">
        <f t="shared" si="127"/>
        <v>95482616</v>
      </c>
      <c r="O175" s="38" t="s">
        <v>12</v>
      </c>
    </row>
    <row r="176" spans="1:15" ht="153.75" x14ac:dyDescent="0.25">
      <c r="A176" s="46"/>
      <c r="B176" s="32" t="s">
        <v>79</v>
      </c>
      <c r="C176" s="34">
        <f t="shared" si="125"/>
        <v>917839088</v>
      </c>
      <c r="D176" s="28">
        <v>31969000</v>
      </c>
      <c r="E176" s="28">
        <v>92459200</v>
      </c>
      <c r="F176" s="28">
        <v>92459200</v>
      </c>
      <c r="G176" s="28">
        <v>84063905</v>
      </c>
      <c r="H176" s="28">
        <v>83943708</v>
      </c>
      <c r="I176" s="15">
        <v>83814265</v>
      </c>
      <c r="J176" s="15">
        <v>83675576</v>
      </c>
      <c r="K176" s="15">
        <v>79006386</v>
      </c>
      <c r="L176" s="15">
        <v>95482616</v>
      </c>
      <c r="M176" s="15">
        <v>95482616</v>
      </c>
      <c r="N176" s="15">
        <v>95482616</v>
      </c>
      <c r="O176" s="46"/>
    </row>
    <row r="177" spans="1:15" ht="101.25" customHeight="1" x14ac:dyDescent="0.25">
      <c r="A177" s="46"/>
      <c r="B177" s="32" t="s">
        <v>9</v>
      </c>
      <c r="C177" s="34">
        <f t="shared" si="125"/>
        <v>525712</v>
      </c>
      <c r="D177" s="28">
        <v>87792</v>
      </c>
      <c r="E177" s="28">
        <v>161000</v>
      </c>
      <c r="F177" s="28">
        <v>276920</v>
      </c>
      <c r="G177" s="28"/>
      <c r="H177" s="28"/>
      <c r="I177" s="15"/>
      <c r="J177" s="15"/>
      <c r="K177" s="15"/>
      <c r="L177" s="15"/>
      <c r="M177" s="15"/>
      <c r="N177" s="15"/>
      <c r="O177" s="46"/>
    </row>
    <row r="178" spans="1:15" ht="128.44999999999999" customHeight="1" x14ac:dyDescent="0.25">
      <c r="A178" s="36" t="s">
        <v>67</v>
      </c>
      <c r="B178" s="27" t="s">
        <v>6</v>
      </c>
      <c r="C178" s="28">
        <f>C179</f>
        <v>156090000</v>
      </c>
      <c r="D178" s="28">
        <f t="shared" ref="D178:N178" si="128">D179</f>
        <v>14190000</v>
      </c>
      <c r="E178" s="28">
        <f t="shared" si="128"/>
        <v>14190000</v>
      </c>
      <c r="F178" s="28">
        <f t="shared" si="128"/>
        <v>14190000</v>
      </c>
      <c r="G178" s="28">
        <f t="shared" si="128"/>
        <v>14190000</v>
      </c>
      <c r="H178" s="28">
        <f t="shared" si="128"/>
        <v>14190000</v>
      </c>
      <c r="I178" s="15">
        <f t="shared" si="128"/>
        <v>14190000</v>
      </c>
      <c r="J178" s="15">
        <f t="shared" si="128"/>
        <v>14190000</v>
      </c>
      <c r="K178" s="15">
        <f t="shared" si="128"/>
        <v>14190000</v>
      </c>
      <c r="L178" s="15">
        <f t="shared" si="128"/>
        <v>14190000</v>
      </c>
      <c r="M178" s="15">
        <f t="shared" si="128"/>
        <v>14190000</v>
      </c>
      <c r="N178" s="15">
        <f t="shared" si="128"/>
        <v>14190000</v>
      </c>
      <c r="O178" s="38" t="s">
        <v>12</v>
      </c>
    </row>
    <row r="179" spans="1:15" ht="287.25" customHeight="1" x14ac:dyDescent="0.25">
      <c r="A179" s="37"/>
      <c r="B179" s="27" t="s">
        <v>79</v>
      </c>
      <c r="C179" s="28">
        <f>SUM(D179:N179)</f>
        <v>156090000</v>
      </c>
      <c r="D179" s="28">
        <v>14190000</v>
      </c>
      <c r="E179" s="28">
        <v>14190000</v>
      </c>
      <c r="F179" s="28">
        <v>14190000</v>
      </c>
      <c r="G179" s="28">
        <v>14190000</v>
      </c>
      <c r="H179" s="28">
        <v>14190000</v>
      </c>
      <c r="I179" s="15">
        <v>14190000</v>
      </c>
      <c r="J179" s="15">
        <v>14190000</v>
      </c>
      <c r="K179" s="15">
        <v>14190000</v>
      </c>
      <c r="L179" s="15">
        <v>14190000</v>
      </c>
      <c r="M179" s="15">
        <v>14190000</v>
      </c>
      <c r="N179" s="15">
        <v>14190000</v>
      </c>
      <c r="O179" s="39"/>
    </row>
    <row r="180" spans="1:15" ht="77.45" customHeight="1" x14ac:dyDescent="0.25">
      <c r="A180" s="36" t="s">
        <v>68</v>
      </c>
      <c r="B180" s="14" t="s">
        <v>6</v>
      </c>
      <c r="C180" s="15">
        <f>C181</f>
        <v>8412914.6999999993</v>
      </c>
      <c r="D180" s="15">
        <f t="shared" ref="D180:N180" si="129">D181</f>
        <v>8412914.6999999993</v>
      </c>
      <c r="E180" s="15">
        <f t="shared" si="129"/>
        <v>0</v>
      </c>
      <c r="F180" s="15">
        <f t="shared" si="129"/>
        <v>0</v>
      </c>
      <c r="G180" s="15">
        <f t="shared" si="129"/>
        <v>0</v>
      </c>
      <c r="H180" s="15">
        <f t="shared" si="129"/>
        <v>0</v>
      </c>
      <c r="I180" s="15">
        <f t="shared" si="129"/>
        <v>0</v>
      </c>
      <c r="J180" s="15">
        <f t="shared" si="129"/>
        <v>0</v>
      </c>
      <c r="K180" s="15">
        <f t="shared" si="129"/>
        <v>0</v>
      </c>
      <c r="L180" s="15">
        <f t="shared" si="129"/>
        <v>0</v>
      </c>
      <c r="M180" s="15">
        <f t="shared" si="129"/>
        <v>0</v>
      </c>
      <c r="N180" s="15">
        <f t="shared" si="129"/>
        <v>0</v>
      </c>
      <c r="O180" s="38" t="s">
        <v>12</v>
      </c>
    </row>
    <row r="181" spans="1:15" ht="274.5" customHeight="1" x14ac:dyDescent="0.25">
      <c r="A181" s="37"/>
      <c r="B181" s="14" t="s">
        <v>9</v>
      </c>
      <c r="C181" s="15">
        <f t="shared" ref="C181" si="130">SUM(D181:F181)</f>
        <v>8412914.6999999993</v>
      </c>
      <c r="D181" s="15">
        <v>8412914.6999999993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39"/>
    </row>
    <row r="182" spans="1:15" ht="61.5" x14ac:dyDescent="0.25">
      <c r="A182" s="36" t="s">
        <v>20</v>
      </c>
      <c r="B182" s="14" t="s">
        <v>6</v>
      </c>
      <c r="C182" s="15">
        <f>C183+C184</f>
        <v>1707914875.0799999</v>
      </c>
      <c r="D182" s="15">
        <f t="shared" ref="D182:N182" si="131">D183+D184</f>
        <v>96410020.420000002</v>
      </c>
      <c r="E182" s="15">
        <f t="shared" si="131"/>
        <v>163160733.33000001</v>
      </c>
      <c r="F182" s="15">
        <f t="shared" si="131"/>
        <v>163276653.33000001</v>
      </c>
      <c r="G182" s="15">
        <f t="shared" si="131"/>
        <v>155019726</v>
      </c>
      <c r="H182" s="15">
        <f t="shared" si="131"/>
        <v>157787082</v>
      </c>
      <c r="I182" s="15">
        <f t="shared" si="131"/>
        <v>158102192</v>
      </c>
      <c r="J182" s="15">
        <f t="shared" si="131"/>
        <v>158061146</v>
      </c>
      <c r="K182" s="15">
        <f t="shared" si="131"/>
        <v>150648178</v>
      </c>
      <c r="L182" s="15">
        <f t="shared" si="131"/>
        <v>151363375</v>
      </c>
      <c r="M182" s="15">
        <f t="shared" si="131"/>
        <v>178362131</v>
      </c>
      <c r="N182" s="15">
        <f t="shared" si="131"/>
        <v>175723638</v>
      </c>
      <c r="O182" s="16" t="s">
        <v>17</v>
      </c>
    </row>
    <row r="183" spans="1:15" ht="153.75" x14ac:dyDescent="0.25">
      <c r="A183" s="37"/>
      <c r="B183" s="14" t="s">
        <v>79</v>
      </c>
      <c r="C183" s="15">
        <f>SUM(D183:N183)</f>
        <v>1409326325.8499999</v>
      </c>
      <c r="D183" s="15">
        <f>D173+D170+D167</f>
        <v>62585874.950000003</v>
      </c>
      <c r="E183" s="15">
        <f t="shared" ref="E183:N184" si="132">E173+E170+E167</f>
        <v>139940474.94999999</v>
      </c>
      <c r="F183" s="15">
        <f t="shared" si="132"/>
        <v>139940474.94999999</v>
      </c>
      <c r="G183" s="15">
        <f t="shared" si="132"/>
        <v>128522332</v>
      </c>
      <c r="H183" s="15">
        <f t="shared" si="132"/>
        <v>128358856</v>
      </c>
      <c r="I183" s="15">
        <f t="shared" si="132"/>
        <v>128182805</v>
      </c>
      <c r="J183" s="15">
        <f t="shared" si="132"/>
        <v>127994179</v>
      </c>
      <c r="K183" s="15">
        <f t="shared" si="132"/>
        <v>121643781</v>
      </c>
      <c r="L183" s="15">
        <f t="shared" si="132"/>
        <v>144052516</v>
      </c>
      <c r="M183" s="15">
        <f t="shared" si="132"/>
        <v>144052516</v>
      </c>
      <c r="N183" s="15">
        <f t="shared" si="132"/>
        <v>144052516</v>
      </c>
      <c r="O183" s="16" t="s">
        <v>17</v>
      </c>
    </row>
    <row r="184" spans="1:15" ht="92.25" x14ac:dyDescent="0.25">
      <c r="A184" s="37"/>
      <c r="B184" s="14" t="s">
        <v>9</v>
      </c>
      <c r="C184" s="15">
        <f>SUM(D184:N184)</f>
        <v>298588549.23000002</v>
      </c>
      <c r="D184" s="15">
        <f>D174+D171+D168</f>
        <v>33824145.469999999</v>
      </c>
      <c r="E184" s="15">
        <f t="shared" si="132"/>
        <v>23220258.379999999</v>
      </c>
      <c r="F184" s="15">
        <f t="shared" si="132"/>
        <v>23336178.379999999</v>
      </c>
      <c r="G184" s="15">
        <f t="shared" si="132"/>
        <v>26497394</v>
      </c>
      <c r="H184" s="15">
        <f t="shared" si="132"/>
        <v>29428226</v>
      </c>
      <c r="I184" s="15">
        <f t="shared" si="132"/>
        <v>29919387</v>
      </c>
      <c r="J184" s="15">
        <f t="shared" si="132"/>
        <v>30066967</v>
      </c>
      <c r="K184" s="15">
        <f t="shared" si="132"/>
        <v>29004397</v>
      </c>
      <c r="L184" s="15">
        <f t="shared" si="132"/>
        <v>7310859</v>
      </c>
      <c r="M184" s="15">
        <f t="shared" si="132"/>
        <v>34309615</v>
      </c>
      <c r="N184" s="15">
        <f t="shared" si="132"/>
        <v>31671122</v>
      </c>
      <c r="O184" s="16" t="s">
        <v>17</v>
      </c>
    </row>
    <row r="185" spans="1:15" ht="61.5" x14ac:dyDescent="0.25">
      <c r="A185" s="49" t="s">
        <v>21</v>
      </c>
      <c r="B185" s="23" t="s">
        <v>6</v>
      </c>
      <c r="C185" s="24">
        <f>C186+C187+C188+C189</f>
        <v>190162071185.67001</v>
      </c>
      <c r="D185" s="24">
        <f t="shared" ref="D185:N185" si="133">D186+D187+D188+D189</f>
        <v>18488312685.439999</v>
      </c>
      <c r="E185" s="24">
        <f t="shared" si="133"/>
        <v>18161139555.84</v>
      </c>
      <c r="F185" s="24">
        <f t="shared" si="133"/>
        <v>19364478000.389999</v>
      </c>
      <c r="G185" s="24">
        <f t="shared" si="133"/>
        <v>16375652618</v>
      </c>
      <c r="H185" s="24">
        <f t="shared" si="133"/>
        <v>16683972618</v>
      </c>
      <c r="I185" s="24">
        <f t="shared" si="133"/>
        <v>16737432618</v>
      </c>
      <c r="J185" s="24">
        <f t="shared" si="133"/>
        <v>16754762618</v>
      </c>
      <c r="K185" s="24">
        <f t="shared" si="133"/>
        <v>16721942618</v>
      </c>
      <c r="L185" s="24">
        <f t="shared" si="133"/>
        <v>16831172618</v>
      </c>
      <c r="M185" s="24">
        <f t="shared" si="133"/>
        <v>17145362618</v>
      </c>
      <c r="N185" s="24">
        <f t="shared" si="133"/>
        <v>16897842618</v>
      </c>
      <c r="O185" s="25" t="s">
        <v>17</v>
      </c>
    </row>
    <row r="186" spans="1:15" ht="155.25" customHeight="1" x14ac:dyDescent="0.25">
      <c r="A186" s="50"/>
      <c r="B186" s="23" t="s">
        <v>80</v>
      </c>
      <c r="C186" s="24">
        <f>SUM(D186:N186)</f>
        <v>1271257672.46</v>
      </c>
      <c r="D186" s="24">
        <f>D199+D191</f>
        <v>310905472.45999998</v>
      </c>
      <c r="E186" s="24">
        <f t="shared" ref="E186:N186" si="134">E199+E191</f>
        <v>480176100</v>
      </c>
      <c r="F186" s="24">
        <f t="shared" si="134"/>
        <v>480176100</v>
      </c>
      <c r="G186" s="24">
        <f t="shared" si="134"/>
        <v>0</v>
      </c>
      <c r="H186" s="24">
        <f t="shared" si="134"/>
        <v>0</v>
      </c>
      <c r="I186" s="24">
        <f t="shared" si="134"/>
        <v>0</v>
      </c>
      <c r="J186" s="24">
        <f t="shared" si="134"/>
        <v>0</v>
      </c>
      <c r="K186" s="24">
        <f t="shared" si="134"/>
        <v>0</v>
      </c>
      <c r="L186" s="24">
        <f t="shared" si="134"/>
        <v>0</v>
      </c>
      <c r="M186" s="24">
        <f t="shared" si="134"/>
        <v>0</v>
      </c>
      <c r="N186" s="24">
        <f t="shared" si="134"/>
        <v>0</v>
      </c>
      <c r="O186" s="25" t="s">
        <v>17</v>
      </c>
    </row>
    <row r="187" spans="1:15" ht="153.75" x14ac:dyDescent="0.25">
      <c r="A187" s="50"/>
      <c r="B187" s="23" t="s">
        <v>79</v>
      </c>
      <c r="C187" s="24">
        <f>SUM(D187:N187)</f>
        <v>143719181839.85001</v>
      </c>
      <c r="D187" s="24">
        <f>D192+D200+D203+D196</f>
        <v>14584474769.950001</v>
      </c>
      <c r="E187" s="24">
        <f>E192+E200+E203</f>
        <v>13841539934.950001</v>
      </c>
      <c r="F187" s="24">
        <f>F192+F200+F203</f>
        <v>15117967134.950001</v>
      </c>
      <c r="G187" s="24">
        <f t="shared" ref="G187:N187" si="135">G192+G200+G203</f>
        <v>12521900000</v>
      </c>
      <c r="H187" s="24">
        <f t="shared" si="135"/>
        <v>12521900000</v>
      </c>
      <c r="I187" s="24">
        <f t="shared" si="135"/>
        <v>12521900000</v>
      </c>
      <c r="J187" s="24">
        <f t="shared" si="135"/>
        <v>12521900000</v>
      </c>
      <c r="K187" s="24">
        <f t="shared" si="135"/>
        <v>12521900000</v>
      </c>
      <c r="L187" s="24">
        <f t="shared" si="135"/>
        <v>12521900000</v>
      </c>
      <c r="M187" s="24">
        <f t="shared" si="135"/>
        <v>12521900000</v>
      </c>
      <c r="N187" s="24">
        <f t="shared" si="135"/>
        <v>12521900000</v>
      </c>
      <c r="O187" s="25" t="s">
        <v>17</v>
      </c>
    </row>
    <row r="188" spans="1:15" ht="92.25" x14ac:dyDescent="0.25">
      <c r="A188" s="50"/>
      <c r="B188" s="23" t="s">
        <v>9</v>
      </c>
      <c r="C188" s="24">
        <f>SUM(D188:N188)</f>
        <v>37251348622.800003</v>
      </c>
      <c r="D188" s="24">
        <f>D193+D197+D201+D204</f>
        <v>3102975572.4699998</v>
      </c>
      <c r="E188" s="24">
        <f>E193+E197+E201+E204</f>
        <v>3096390902.8899999</v>
      </c>
      <c r="F188" s="24">
        <f>F193+F197+F201+F204</f>
        <v>3023302147.4400001</v>
      </c>
      <c r="G188" s="24">
        <f>G193+G197+G201+G204</f>
        <v>3110720000</v>
      </c>
      <c r="H188" s="24">
        <f t="shared" ref="H188:M188" si="136">H193+H197+H201+H204</f>
        <v>3419040000</v>
      </c>
      <c r="I188" s="24">
        <f t="shared" si="136"/>
        <v>3472500000</v>
      </c>
      <c r="J188" s="24">
        <f t="shared" si="136"/>
        <v>3489830000</v>
      </c>
      <c r="K188" s="24">
        <f>K193+K197+K201+K204</f>
        <v>3457010000</v>
      </c>
      <c r="L188" s="24">
        <f t="shared" si="136"/>
        <v>3566240000</v>
      </c>
      <c r="M188" s="24">
        <f t="shared" si="136"/>
        <v>3880430000</v>
      </c>
      <c r="N188" s="24">
        <f>N193+N197+N201+N204</f>
        <v>3632910000</v>
      </c>
      <c r="O188" s="25" t="s">
        <v>17</v>
      </c>
    </row>
    <row r="189" spans="1:15" ht="184.5" x14ac:dyDescent="0.25">
      <c r="A189" s="51"/>
      <c r="B189" s="23" t="s">
        <v>10</v>
      </c>
      <c r="C189" s="24">
        <f>SUM(D189:N189)</f>
        <v>7920283050.5600004</v>
      </c>
      <c r="D189" s="24">
        <f>D194</f>
        <v>489956870.56</v>
      </c>
      <c r="E189" s="24">
        <f t="shared" ref="E189:N189" si="137">E194</f>
        <v>743032618</v>
      </c>
      <c r="F189" s="24">
        <f t="shared" si="137"/>
        <v>743032618</v>
      </c>
      <c r="G189" s="24">
        <f t="shared" si="137"/>
        <v>743032618</v>
      </c>
      <c r="H189" s="24">
        <f t="shared" si="137"/>
        <v>743032618</v>
      </c>
      <c r="I189" s="24">
        <f t="shared" si="137"/>
        <v>743032618</v>
      </c>
      <c r="J189" s="24">
        <f t="shared" si="137"/>
        <v>743032618</v>
      </c>
      <c r="K189" s="24">
        <f t="shared" si="137"/>
        <v>743032618</v>
      </c>
      <c r="L189" s="24">
        <f t="shared" si="137"/>
        <v>743032618</v>
      </c>
      <c r="M189" s="24">
        <f t="shared" si="137"/>
        <v>743032618</v>
      </c>
      <c r="N189" s="24">
        <f t="shared" si="137"/>
        <v>743032618</v>
      </c>
      <c r="O189" s="25" t="s">
        <v>17</v>
      </c>
    </row>
    <row r="190" spans="1:15" ht="61.5" x14ac:dyDescent="0.25">
      <c r="A190" s="49" t="s">
        <v>22</v>
      </c>
      <c r="B190" s="14" t="s">
        <v>6</v>
      </c>
      <c r="C190" s="15">
        <f>C192+C193+C194+C191</f>
        <v>173953622394.29999</v>
      </c>
      <c r="D190" s="15">
        <f t="shared" ref="D190:N190" si="138">D192+D193+D194+D191</f>
        <v>16170967786.02</v>
      </c>
      <c r="E190" s="15">
        <f t="shared" si="138"/>
        <v>15852550092.620001</v>
      </c>
      <c r="F190" s="15">
        <f t="shared" si="138"/>
        <v>15970362175.379999</v>
      </c>
      <c r="G190" s="15">
        <f t="shared" si="138"/>
        <v>15515826394.92</v>
      </c>
      <c r="H190" s="15">
        <f t="shared" si="138"/>
        <v>15485526204.190001</v>
      </c>
      <c r="I190" s="15">
        <f t="shared" si="138"/>
        <v>15524197814.67</v>
      </c>
      <c r="J190" s="15">
        <f t="shared" si="138"/>
        <v>15530623425.83</v>
      </c>
      <c r="K190" s="15">
        <f t="shared" si="138"/>
        <v>15486761311.940001</v>
      </c>
      <c r="L190" s="15">
        <f t="shared" si="138"/>
        <v>15582814683.73</v>
      </c>
      <c r="M190" s="15">
        <f t="shared" si="138"/>
        <v>16536497160</v>
      </c>
      <c r="N190" s="15">
        <f t="shared" si="138"/>
        <v>16297495345</v>
      </c>
      <c r="O190" s="16" t="s">
        <v>17</v>
      </c>
    </row>
    <row r="191" spans="1:15" ht="164.25" customHeight="1" x14ac:dyDescent="0.25">
      <c r="A191" s="50"/>
      <c r="B191" s="14" t="s">
        <v>80</v>
      </c>
      <c r="C191" s="15">
        <f>SUM(D191:N191)</f>
        <v>861498172.46000004</v>
      </c>
      <c r="D191" s="15">
        <f>D148+D60+D75</f>
        <v>136232172.46000001</v>
      </c>
      <c r="E191" s="21">
        <f t="shared" ref="E191:F191" si="139">E148+E60</f>
        <v>362633000</v>
      </c>
      <c r="F191" s="21">
        <f t="shared" si="139"/>
        <v>362633000</v>
      </c>
      <c r="G191" s="15"/>
      <c r="H191" s="15"/>
      <c r="I191" s="15"/>
      <c r="J191" s="15"/>
      <c r="K191" s="15"/>
      <c r="L191" s="15"/>
      <c r="M191" s="15"/>
      <c r="N191" s="15"/>
      <c r="O191" s="16" t="s">
        <v>17</v>
      </c>
    </row>
    <row r="192" spans="1:15" ht="153.75" x14ac:dyDescent="0.25">
      <c r="A192" s="50"/>
      <c r="B192" s="14" t="s">
        <v>79</v>
      </c>
      <c r="C192" s="15">
        <f>SUM(D192:N192)</f>
        <v>134525497887.78999</v>
      </c>
      <c r="D192" s="15">
        <f>D15+D30+D36+D51+D61+D72+D76+D167+D170+D173+D149+D132</f>
        <v>13133685969.950001</v>
      </c>
      <c r="E192" s="15">
        <f>E15+E30+E36+E51+E61+E72+E76+E167+E170+E173</f>
        <v>12414987234.950001</v>
      </c>
      <c r="F192" s="15">
        <f t="shared" ref="F192" si="140">F15+F30+F36+F51+F61+F72+F76+F167+F170+F173+F111</f>
        <v>12535109034.950001</v>
      </c>
      <c r="G192" s="15">
        <f>G15+G30+G36+G51+G61+G72+G76+G167+G170+G173+G111+G114+G120</f>
        <v>12104648636.52</v>
      </c>
      <c r="H192" s="15">
        <f t="shared" ref="H192:K192" si="141">H15+H30+H36+H51+H61+H72+H76+H167+H170+H173+H111+H114+H120</f>
        <v>11850103335.969999</v>
      </c>
      <c r="I192" s="15">
        <f t="shared" si="141"/>
        <v>11842995709.700001</v>
      </c>
      <c r="J192" s="15">
        <f t="shared" si="141"/>
        <v>11835045249.35</v>
      </c>
      <c r="K192" s="15">
        <f t="shared" si="141"/>
        <v>11826540231.450001</v>
      </c>
      <c r="L192" s="15">
        <f t="shared" ref="L192" si="142">L15+L30+L36+L51+L61+L72+L76+L167+L170+L173+L111+L114</f>
        <v>11938582484.950001</v>
      </c>
      <c r="M192" s="15">
        <f t="shared" ref="M192:N192" si="143">M15+M30+M36+M51+M61+M72+M76+M167+M170+M173+M111+M114</f>
        <v>12521900000</v>
      </c>
      <c r="N192" s="15">
        <f t="shared" si="143"/>
        <v>12521900000</v>
      </c>
      <c r="O192" s="16" t="s">
        <v>17</v>
      </c>
    </row>
    <row r="193" spans="1:15" ht="92.25" x14ac:dyDescent="0.25">
      <c r="A193" s="50"/>
      <c r="B193" s="14" t="s">
        <v>9</v>
      </c>
      <c r="C193" s="15">
        <f t="shared" ref="C193" si="144">SUM(D193:N193)</f>
        <v>30646343283.490002</v>
      </c>
      <c r="D193" s="15">
        <f>D16+D18+D20+D22+D32+D37+D62+D77+D73+D133+D146+D168+D171+D174+D150+D52</f>
        <v>2411092773.0500002</v>
      </c>
      <c r="E193" s="15">
        <f>E16+E18+E20+E22+E37+E62+E77+E73+E133+E146+E168+E171+E174</f>
        <v>2331897239.6700001</v>
      </c>
      <c r="F193" s="15">
        <f>F16+F18+F20+F22+F37+F62+F77+F73+F133+F146+F168+F171+F174+F112</f>
        <v>2329587522.4299998</v>
      </c>
      <c r="G193" s="15">
        <f>G16+G18+G20+G22+G37+G62+G77+G73+G133+G146+G168+G171+G174+G112+G115+G121</f>
        <v>2668145140.4000001</v>
      </c>
      <c r="H193" s="15">
        <f t="shared" ref="H193:K193" si="145">H16+H18+H20+H22+H37+H62+H77+H73+H133+H146+H168+H171+H174+H112+H115+H121</f>
        <v>2892390250.2199998</v>
      </c>
      <c r="I193" s="15">
        <f t="shared" si="145"/>
        <v>2938169486.9699998</v>
      </c>
      <c r="J193" s="15">
        <f t="shared" si="145"/>
        <v>2952545558.48</v>
      </c>
      <c r="K193" s="15">
        <f t="shared" si="145"/>
        <v>2917188462.4899998</v>
      </c>
      <c r="L193" s="15">
        <f t="shared" ref="L193:N193" si="146">L16+L18+L20+L22+L37+L62+L77+L73+L133+L146+L168+L171+L174+L112+L115</f>
        <v>2901199580.7800002</v>
      </c>
      <c r="M193" s="15">
        <f t="shared" si="146"/>
        <v>3271564542</v>
      </c>
      <c r="N193" s="15">
        <f t="shared" si="146"/>
        <v>3032562727</v>
      </c>
      <c r="O193" s="16" t="s">
        <v>17</v>
      </c>
    </row>
    <row r="194" spans="1:15" ht="184.5" x14ac:dyDescent="0.25">
      <c r="A194" s="51"/>
      <c r="B194" s="14" t="s">
        <v>10</v>
      </c>
      <c r="C194" s="15">
        <f>SUM(D194:N194)</f>
        <v>7920283050.5600004</v>
      </c>
      <c r="D194" s="15">
        <f t="shared" ref="D194:N194" si="147">D38</f>
        <v>489956870.56</v>
      </c>
      <c r="E194" s="15">
        <f t="shared" si="147"/>
        <v>743032618</v>
      </c>
      <c r="F194" s="15">
        <f t="shared" si="147"/>
        <v>743032618</v>
      </c>
      <c r="G194" s="15">
        <f t="shared" si="147"/>
        <v>743032618</v>
      </c>
      <c r="H194" s="15">
        <f t="shared" si="147"/>
        <v>743032618</v>
      </c>
      <c r="I194" s="15">
        <f t="shared" si="147"/>
        <v>743032618</v>
      </c>
      <c r="J194" s="15">
        <f t="shared" si="147"/>
        <v>743032618</v>
      </c>
      <c r="K194" s="15">
        <f t="shared" si="147"/>
        <v>743032618</v>
      </c>
      <c r="L194" s="15">
        <f t="shared" si="147"/>
        <v>743032618</v>
      </c>
      <c r="M194" s="15">
        <f t="shared" si="147"/>
        <v>743032618</v>
      </c>
      <c r="N194" s="15">
        <f t="shared" si="147"/>
        <v>743032618</v>
      </c>
      <c r="O194" s="16" t="s">
        <v>17</v>
      </c>
    </row>
    <row r="195" spans="1:15" ht="61.5" x14ac:dyDescent="0.25">
      <c r="A195" s="36" t="s">
        <v>23</v>
      </c>
      <c r="B195" s="14" t="s">
        <v>6</v>
      </c>
      <c r="C195" s="15">
        <f>C196+C197</f>
        <v>4831128302.6499996</v>
      </c>
      <c r="D195" s="15">
        <f t="shared" ref="D195:N195" si="148">D196+D197</f>
        <v>461366120.92000002</v>
      </c>
      <c r="E195" s="15">
        <f t="shared" si="148"/>
        <v>463919254.30000001</v>
      </c>
      <c r="F195" s="15">
        <f t="shared" si="148"/>
        <v>506891950.43000001</v>
      </c>
      <c r="G195" s="15">
        <f t="shared" si="148"/>
        <v>371759637</v>
      </c>
      <c r="H195" s="15">
        <f t="shared" si="148"/>
        <v>412879340</v>
      </c>
      <c r="I195" s="15">
        <f t="shared" si="148"/>
        <v>419770367</v>
      </c>
      <c r="J195" s="15">
        <f t="shared" si="148"/>
        <v>421840911</v>
      </c>
      <c r="K195" s="15">
        <f t="shared" si="148"/>
        <v>406933005</v>
      </c>
      <c r="L195" s="15">
        <f t="shared" si="148"/>
        <v>440054986</v>
      </c>
      <c r="M195" s="15">
        <f t="shared" si="148"/>
        <v>481365458</v>
      </c>
      <c r="N195" s="15">
        <f t="shared" si="148"/>
        <v>444347273</v>
      </c>
      <c r="O195" s="16" t="s">
        <v>17</v>
      </c>
    </row>
    <row r="196" spans="1:15" ht="153.75" x14ac:dyDescent="0.25">
      <c r="A196" s="36"/>
      <c r="B196" s="14" t="s">
        <v>79</v>
      </c>
      <c r="C196" s="15">
        <f>SUM(D196:N196)</f>
        <v>500000</v>
      </c>
      <c r="D196" s="15">
        <f>D40</f>
        <v>500000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6" t="s">
        <v>17</v>
      </c>
    </row>
    <row r="197" spans="1:15" ht="92.25" x14ac:dyDescent="0.25">
      <c r="A197" s="37"/>
      <c r="B197" s="14" t="s">
        <v>9</v>
      </c>
      <c r="C197" s="15">
        <f>SUM(D197:N197)</f>
        <v>4830628302.6499996</v>
      </c>
      <c r="D197" s="15">
        <f t="shared" ref="D197:N197" si="149">D24+D41+D79+D140</f>
        <v>460866120.92000002</v>
      </c>
      <c r="E197" s="15">
        <f t="shared" si="149"/>
        <v>463919254.30000001</v>
      </c>
      <c r="F197" s="15">
        <f t="shared" si="149"/>
        <v>506891950.43000001</v>
      </c>
      <c r="G197" s="15">
        <f t="shared" si="149"/>
        <v>371759637</v>
      </c>
      <c r="H197" s="15">
        <f t="shared" si="149"/>
        <v>412879340</v>
      </c>
      <c r="I197" s="15">
        <f t="shared" si="149"/>
        <v>419770367</v>
      </c>
      <c r="J197" s="15">
        <f t="shared" si="149"/>
        <v>421840911</v>
      </c>
      <c r="K197" s="15">
        <f t="shared" si="149"/>
        <v>406933005</v>
      </c>
      <c r="L197" s="15">
        <f t="shared" si="149"/>
        <v>440054986</v>
      </c>
      <c r="M197" s="15">
        <f t="shared" si="149"/>
        <v>481365458</v>
      </c>
      <c r="N197" s="15">
        <f t="shared" si="149"/>
        <v>444347273</v>
      </c>
      <c r="O197" s="16" t="s">
        <v>17</v>
      </c>
    </row>
    <row r="198" spans="1:15" ht="61.5" x14ac:dyDescent="0.25">
      <c r="A198" s="36" t="s">
        <v>24</v>
      </c>
      <c r="B198" s="14" t="s">
        <v>6</v>
      </c>
      <c r="C198" s="15">
        <f>C199+C200+C201</f>
        <v>6252546462</v>
      </c>
      <c r="D198" s="15">
        <f t="shared" ref="D198:N198" si="150">D199+D200+D201</f>
        <v>1855978778.5</v>
      </c>
      <c r="E198" s="15">
        <f t="shared" si="150"/>
        <v>1454257008.9200001</v>
      </c>
      <c r="F198" s="15">
        <f t="shared" si="150"/>
        <v>2496810674.5799999</v>
      </c>
      <c r="G198" s="15">
        <f t="shared" si="150"/>
        <v>0</v>
      </c>
      <c r="H198" s="15">
        <f t="shared" si="150"/>
        <v>0</v>
      </c>
      <c r="I198" s="15">
        <f t="shared" si="150"/>
        <v>0</v>
      </c>
      <c r="J198" s="15">
        <f t="shared" si="150"/>
        <v>0</v>
      </c>
      <c r="K198" s="15">
        <f>K199+K200+K201</f>
        <v>16500000</v>
      </c>
      <c r="L198" s="15">
        <f t="shared" si="150"/>
        <v>145500000</v>
      </c>
      <c r="M198" s="15">
        <f t="shared" si="150"/>
        <v>127500000</v>
      </c>
      <c r="N198" s="15">
        <f t="shared" si="150"/>
        <v>156000000</v>
      </c>
      <c r="O198" s="16" t="s">
        <v>17</v>
      </c>
    </row>
    <row r="199" spans="1:15" ht="153.75" x14ac:dyDescent="0.25">
      <c r="A199" s="37"/>
      <c r="B199" s="14" t="s">
        <v>80</v>
      </c>
      <c r="C199" s="15">
        <f>SUM(D199:N199)</f>
        <v>409759500</v>
      </c>
      <c r="D199" s="15">
        <f t="shared" ref="D199:N199" si="151">D96+D103+D107</f>
        <v>174673300</v>
      </c>
      <c r="E199" s="15">
        <f t="shared" si="151"/>
        <v>117543100</v>
      </c>
      <c r="F199" s="15">
        <f t="shared" si="151"/>
        <v>117543100</v>
      </c>
      <c r="G199" s="15">
        <f t="shared" si="151"/>
        <v>0</v>
      </c>
      <c r="H199" s="15">
        <f t="shared" si="151"/>
        <v>0</v>
      </c>
      <c r="I199" s="15">
        <f t="shared" si="151"/>
        <v>0</v>
      </c>
      <c r="J199" s="15">
        <f t="shared" si="151"/>
        <v>0</v>
      </c>
      <c r="K199" s="15">
        <f t="shared" si="151"/>
        <v>0</v>
      </c>
      <c r="L199" s="15">
        <f t="shared" si="151"/>
        <v>0</v>
      </c>
      <c r="M199" s="15">
        <f t="shared" si="151"/>
        <v>0</v>
      </c>
      <c r="N199" s="15">
        <f t="shared" si="151"/>
        <v>0</v>
      </c>
      <c r="O199" s="16" t="s">
        <v>17</v>
      </c>
    </row>
    <row r="200" spans="1:15" ht="153.75" x14ac:dyDescent="0.25">
      <c r="A200" s="37"/>
      <c r="B200" s="14" t="s">
        <v>79</v>
      </c>
      <c r="C200" s="15">
        <f t="shared" ref="C200" si="152">SUM(D200:N200)</f>
        <v>4756956000</v>
      </c>
      <c r="D200" s="15">
        <f>D111+D108+D104+D100+D97</f>
        <v>1450288800</v>
      </c>
      <c r="E200" s="15">
        <f>E111+E108+E104+E100+E97+E114+E120</f>
        <v>1075180900</v>
      </c>
      <c r="F200" s="15">
        <f>F108+F104+F100+F97+F114+F120</f>
        <v>2231486300</v>
      </c>
      <c r="G200" s="15">
        <f t="shared" ref="G200:N200" si="153">G108+G104+G100+G97</f>
        <v>0</v>
      </c>
      <c r="H200" s="15">
        <f t="shared" si="153"/>
        <v>0</v>
      </c>
      <c r="I200" s="15">
        <f t="shared" si="153"/>
        <v>0</v>
      </c>
      <c r="J200" s="15">
        <f t="shared" si="153"/>
        <v>0</v>
      </c>
      <c r="K200" s="15">
        <f t="shared" si="153"/>
        <v>0</v>
      </c>
      <c r="L200" s="15">
        <f t="shared" si="153"/>
        <v>0</v>
      </c>
      <c r="M200" s="15">
        <f t="shared" si="153"/>
        <v>0</v>
      </c>
      <c r="N200" s="15">
        <f t="shared" si="153"/>
        <v>0</v>
      </c>
      <c r="O200" s="16" t="s">
        <v>17</v>
      </c>
    </row>
    <row r="201" spans="1:15" ht="92.25" x14ac:dyDescent="0.25">
      <c r="A201" s="37"/>
      <c r="B201" s="14" t="s">
        <v>9</v>
      </c>
      <c r="C201" s="15">
        <f>SUM(D201:N201)</f>
        <v>1085830962</v>
      </c>
      <c r="D201" s="15">
        <f>D112+D109+D101+D98+D90</f>
        <v>231016678.5</v>
      </c>
      <c r="E201" s="15">
        <f>E112+E109+E101+E98+E90+E105+E115+E153+E157+E121</f>
        <v>261533008.91999999</v>
      </c>
      <c r="F201" s="15">
        <f>F109+F101+F98+F90+F105+F115+F153+F157+F121</f>
        <v>147781274.58000001</v>
      </c>
      <c r="G201" s="15">
        <f>G109+G101+G98+G90+G105</f>
        <v>0</v>
      </c>
      <c r="H201" s="15">
        <f>H109+H101+H98+H90+H105</f>
        <v>0</v>
      </c>
      <c r="I201" s="15">
        <f>I109+I101+I98+I90+I105</f>
        <v>0</v>
      </c>
      <c r="J201" s="15">
        <f>J109+J101+J98+J90+J105</f>
        <v>0</v>
      </c>
      <c r="K201" s="15">
        <f>K109+K101+K98+K90+K32</f>
        <v>16500000</v>
      </c>
      <c r="L201" s="15">
        <f t="shared" ref="L201:N201" si="154">L109+L101+L98+L90+L32</f>
        <v>145500000</v>
      </c>
      <c r="M201" s="15">
        <f t="shared" si="154"/>
        <v>127500000</v>
      </c>
      <c r="N201" s="15">
        <f t="shared" si="154"/>
        <v>156000000</v>
      </c>
      <c r="O201" s="16" t="s">
        <v>17</v>
      </c>
    </row>
    <row r="202" spans="1:15" ht="61.5" x14ac:dyDescent="0.25">
      <c r="A202" s="47" t="s">
        <v>70</v>
      </c>
      <c r="B202" s="17" t="s">
        <v>69</v>
      </c>
      <c r="C202" s="8">
        <f>C203+C204</f>
        <v>5124774026.7200003</v>
      </c>
      <c r="D202" s="8">
        <f>D203+D204</f>
        <v>0</v>
      </c>
      <c r="E202" s="8">
        <f t="shared" ref="E202:F202" si="155">E203+E204</f>
        <v>390413200</v>
      </c>
      <c r="F202" s="8">
        <f t="shared" si="155"/>
        <v>390413200</v>
      </c>
      <c r="G202" s="8">
        <f t="shared" ref="G202" si="156">G203+G204</f>
        <v>488066586.07999998</v>
      </c>
      <c r="H202" s="8">
        <f t="shared" ref="H202" si="157">H203+H204</f>
        <v>785567073.80999994</v>
      </c>
      <c r="I202" s="8">
        <f t="shared" ref="I202" si="158">I203+I204</f>
        <v>793464436.33000004</v>
      </c>
      <c r="J202" s="8">
        <f t="shared" ref="J202" si="159">J203+J204</f>
        <v>802298281.16999996</v>
      </c>
      <c r="K202" s="8">
        <f t="shared" ref="K202" si="160">K203+K204</f>
        <v>811748301.05999994</v>
      </c>
      <c r="L202" s="8">
        <f t="shared" ref="L202" si="161">L203+L204</f>
        <v>662802948.26999998</v>
      </c>
      <c r="M202" s="8">
        <f t="shared" ref="M202" si="162">M203+M204</f>
        <v>0</v>
      </c>
      <c r="N202" s="8">
        <f t="shared" ref="N202" si="163">N203+N204</f>
        <v>0</v>
      </c>
      <c r="O202" s="16" t="s">
        <v>17</v>
      </c>
    </row>
    <row r="203" spans="1:15" ht="153.75" x14ac:dyDescent="0.25">
      <c r="A203" s="48"/>
      <c r="B203" s="14" t="s">
        <v>79</v>
      </c>
      <c r="C203" s="15">
        <f>SUM(D203:N203)</f>
        <v>4436227952.0600004</v>
      </c>
      <c r="D203" s="8">
        <f>D114+D117+D120+D123</f>
        <v>0</v>
      </c>
      <c r="E203" s="8">
        <f>E117+E123</f>
        <v>351371800</v>
      </c>
      <c r="F203" s="8">
        <f t="shared" ref="F203:K203" si="164">F117+F123</f>
        <v>351371800</v>
      </c>
      <c r="G203" s="8">
        <f t="shared" si="164"/>
        <v>417251363.48000002</v>
      </c>
      <c r="H203" s="8">
        <f t="shared" si="164"/>
        <v>671796664.02999997</v>
      </c>
      <c r="I203" s="8">
        <f t="shared" si="164"/>
        <v>678904290.29999995</v>
      </c>
      <c r="J203" s="8">
        <f t="shared" si="164"/>
        <v>686854750.64999998</v>
      </c>
      <c r="K203" s="8">
        <f t="shared" si="164"/>
        <v>695359768.54999995</v>
      </c>
      <c r="L203" s="8">
        <f t="shared" ref="L203:N203" si="165">L114+L117+L120+L123</f>
        <v>583317515.04999995</v>
      </c>
      <c r="M203" s="8">
        <f t="shared" si="165"/>
        <v>0</v>
      </c>
      <c r="N203" s="8">
        <f t="shared" si="165"/>
        <v>0</v>
      </c>
      <c r="O203" s="16" t="s">
        <v>17</v>
      </c>
    </row>
    <row r="204" spans="1:15" ht="92.25" x14ac:dyDescent="0.25">
      <c r="A204" s="48"/>
      <c r="B204" s="14" t="s">
        <v>9</v>
      </c>
      <c r="C204" s="15">
        <f>SUM(D204:N204)</f>
        <v>688546074.65999997</v>
      </c>
      <c r="D204" s="8">
        <f>D115+D118+D121+D124</f>
        <v>0</v>
      </c>
      <c r="E204" s="8">
        <f>E118+E124</f>
        <v>39041400</v>
      </c>
      <c r="F204" s="8">
        <f t="shared" ref="F204:K204" si="166">F118+F124</f>
        <v>39041400</v>
      </c>
      <c r="G204" s="8">
        <f t="shared" si="166"/>
        <v>70815222.599999994</v>
      </c>
      <c r="H204" s="8">
        <f t="shared" si="166"/>
        <v>113770409.78</v>
      </c>
      <c r="I204" s="8">
        <f t="shared" si="166"/>
        <v>114560146.03</v>
      </c>
      <c r="J204" s="8">
        <f t="shared" si="166"/>
        <v>115443530.52</v>
      </c>
      <c r="K204" s="8">
        <f t="shared" si="166"/>
        <v>116388532.51000001</v>
      </c>
      <c r="L204" s="8">
        <f t="shared" ref="L204:N204" si="167">L115+L118+L121+L124</f>
        <v>79485433.219999999</v>
      </c>
      <c r="M204" s="8">
        <f t="shared" si="167"/>
        <v>0</v>
      </c>
      <c r="N204" s="8">
        <f t="shared" si="167"/>
        <v>0</v>
      </c>
      <c r="O204" s="16" t="s">
        <v>17</v>
      </c>
    </row>
    <row r="210" spans="4:14" x14ac:dyDescent="0.25">
      <c r="K210" s="13"/>
      <c r="L210" s="13"/>
      <c r="M210" s="13"/>
      <c r="N210" s="13"/>
    </row>
    <row r="211" spans="4:14" x14ac:dyDescent="0.25">
      <c r="D211" s="4">
        <f>17998355814.88+D215</f>
        <v>18488312685.439999</v>
      </c>
      <c r="E211" s="4">
        <f>17418106937.84+E215</f>
        <v>18161139555.84</v>
      </c>
      <c r="F211" s="4">
        <f>18621445382.39+F215</f>
        <v>19364478000.389999</v>
      </c>
      <c r="G211" s="4">
        <v>15632620000</v>
      </c>
      <c r="H211" s="4">
        <v>15940940000</v>
      </c>
      <c r="I211" s="4">
        <v>15994400000</v>
      </c>
      <c r="J211" s="4">
        <v>16011730000</v>
      </c>
      <c r="K211" s="4">
        <v>15978910000</v>
      </c>
      <c r="L211" s="4">
        <v>16088140000</v>
      </c>
      <c r="M211" s="4">
        <v>16402330000</v>
      </c>
      <c r="N211" s="4">
        <v>16154810000</v>
      </c>
    </row>
    <row r="212" spans="4:14" x14ac:dyDescent="0.25">
      <c r="D212" s="4">
        <v>310905472.45999998</v>
      </c>
      <c r="E212" s="4">
        <v>480176100</v>
      </c>
      <c r="F212" s="4">
        <v>480176100</v>
      </c>
      <c r="G212" s="4">
        <v>12521900000</v>
      </c>
      <c r="H212" s="4">
        <v>12521900000</v>
      </c>
      <c r="I212" s="4">
        <v>12521900000</v>
      </c>
      <c r="J212" s="4">
        <v>12521900000</v>
      </c>
      <c r="K212" s="4">
        <v>12521900000</v>
      </c>
      <c r="L212" s="4">
        <v>12521900000</v>
      </c>
      <c r="M212" s="4">
        <v>12521900000</v>
      </c>
      <c r="N212" s="4">
        <v>12521900000</v>
      </c>
    </row>
    <row r="213" spans="4:14" x14ac:dyDescent="0.25">
      <c r="D213" s="4">
        <v>14584474769.950001</v>
      </c>
      <c r="E213" s="4">
        <v>13841539934.950001</v>
      </c>
      <c r="F213" s="4">
        <v>15117967134.950001</v>
      </c>
      <c r="G213" s="4">
        <v>3110720000</v>
      </c>
      <c r="H213" s="4">
        <v>3419040000</v>
      </c>
      <c r="I213" s="4">
        <v>3472500000</v>
      </c>
      <c r="J213" s="4">
        <v>3489830000</v>
      </c>
      <c r="K213" s="4">
        <v>3457010000</v>
      </c>
      <c r="L213" s="4">
        <v>3566240000</v>
      </c>
      <c r="M213" s="4">
        <v>3880430000</v>
      </c>
      <c r="N213" s="4">
        <v>3632910000</v>
      </c>
    </row>
    <row r="214" spans="4:14" x14ac:dyDescent="0.25">
      <c r="D214" s="4">
        <v>3102975572.4699998</v>
      </c>
      <c r="E214" s="4">
        <v>3096390902.8899999</v>
      </c>
      <c r="F214" s="4">
        <v>3023302147.4400001</v>
      </c>
    </row>
    <row r="215" spans="4:14" x14ac:dyDescent="0.25">
      <c r="D215" s="4">
        <v>489956870.56</v>
      </c>
      <c r="E215" s="4">
        <v>743032618</v>
      </c>
      <c r="F215" s="4">
        <v>743032618</v>
      </c>
    </row>
    <row r="216" spans="4:14" x14ac:dyDescent="0.25">
      <c r="G216" s="4" t="b">
        <f>G211=G187+G188</f>
        <v>1</v>
      </c>
      <c r="H216" s="4" t="b">
        <f t="shared" ref="H216:N216" si="168">H211=H187+H188</f>
        <v>1</v>
      </c>
      <c r="I216" s="4" t="b">
        <f t="shared" si="168"/>
        <v>1</v>
      </c>
      <c r="J216" s="4" t="b">
        <f t="shared" si="168"/>
        <v>1</v>
      </c>
      <c r="K216" s="4" t="b">
        <f t="shared" si="168"/>
        <v>1</v>
      </c>
      <c r="L216" s="4" t="b">
        <f t="shared" si="168"/>
        <v>1</v>
      </c>
      <c r="M216" s="4" t="b">
        <f t="shared" si="168"/>
        <v>1</v>
      </c>
      <c r="N216" s="4" t="b">
        <f t="shared" si="168"/>
        <v>1</v>
      </c>
    </row>
    <row r="217" spans="4:14" x14ac:dyDescent="0.25">
      <c r="D217" s="4" t="b">
        <f>D211=D185</f>
        <v>1</v>
      </c>
      <c r="E217" s="4" t="b">
        <f t="shared" ref="E217:F217" si="169">E211=E185</f>
        <v>1</v>
      </c>
      <c r="F217" s="4" t="b">
        <f t="shared" si="169"/>
        <v>1</v>
      </c>
      <c r="G217" s="4" t="b">
        <f>G212=G187</f>
        <v>1</v>
      </c>
      <c r="H217" s="4" t="b">
        <f t="shared" ref="H217:N217" si="170">H212=H187</f>
        <v>1</v>
      </c>
      <c r="I217" s="4" t="b">
        <f t="shared" si="170"/>
        <v>1</v>
      </c>
      <c r="J217" s="4" t="b">
        <f t="shared" si="170"/>
        <v>1</v>
      </c>
      <c r="K217" s="4" t="b">
        <f t="shared" si="170"/>
        <v>1</v>
      </c>
      <c r="L217" s="4" t="b">
        <f t="shared" si="170"/>
        <v>1</v>
      </c>
      <c r="M217" s="4" t="b">
        <f t="shared" si="170"/>
        <v>1</v>
      </c>
      <c r="N217" s="4" t="b">
        <f t="shared" si="170"/>
        <v>1</v>
      </c>
    </row>
    <row r="218" spans="4:14" x14ac:dyDescent="0.25">
      <c r="D218" s="4" t="b">
        <f t="shared" ref="D218:F218" si="171">D212=D186</f>
        <v>1</v>
      </c>
      <c r="E218" s="4" t="b">
        <f t="shared" si="171"/>
        <v>1</v>
      </c>
      <c r="F218" s="4" t="b">
        <f t="shared" si="171"/>
        <v>1</v>
      </c>
      <c r="G218" s="4" t="b">
        <f>G213=G188</f>
        <v>1</v>
      </c>
      <c r="H218" s="4" t="b">
        <f t="shared" ref="H218:N218" si="172">H213=H188</f>
        <v>1</v>
      </c>
      <c r="I218" s="4" t="b">
        <f t="shared" si="172"/>
        <v>1</v>
      </c>
      <c r="J218" s="4" t="b">
        <f t="shared" si="172"/>
        <v>1</v>
      </c>
      <c r="K218" s="4" t="b">
        <f t="shared" si="172"/>
        <v>1</v>
      </c>
      <c r="L218" s="4" t="b">
        <f t="shared" si="172"/>
        <v>1</v>
      </c>
      <c r="M218" s="4" t="b">
        <f t="shared" si="172"/>
        <v>1</v>
      </c>
      <c r="N218" s="4" t="b">
        <f t="shared" si="172"/>
        <v>1</v>
      </c>
    </row>
    <row r="219" spans="4:14" x14ac:dyDescent="0.25">
      <c r="D219" s="4" t="b">
        <f t="shared" ref="D219:F219" si="173">D213=D187</f>
        <v>1</v>
      </c>
      <c r="E219" s="4" t="b">
        <f t="shared" si="173"/>
        <v>1</v>
      </c>
      <c r="F219" s="4" t="b">
        <f t="shared" si="173"/>
        <v>1</v>
      </c>
    </row>
    <row r="220" spans="4:14" x14ac:dyDescent="0.25">
      <c r="D220" s="4" t="b">
        <f t="shared" ref="D220:F220" si="174">D214=D188</f>
        <v>1</v>
      </c>
      <c r="E220" s="4" t="b">
        <f t="shared" si="174"/>
        <v>1</v>
      </c>
      <c r="F220" s="4" t="b">
        <f t="shared" si="174"/>
        <v>1</v>
      </c>
      <c r="G220" s="4">
        <f>G212-G187</f>
        <v>0</v>
      </c>
      <c r="H220" s="4">
        <f t="shared" ref="H220:N220" si="175">H212-H187</f>
        <v>0</v>
      </c>
      <c r="I220" s="4">
        <f t="shared" si="175"/>
        <v>0</v>
      </c>
      <c r="J220" s="4">
        <f t="shared" si="175"/>
        <v>0</v>
      </c>
      <c r="K220" s="4">
        <f t="shared" si="175"/>
        <v>0</v>
      </c>
      <c r="L220" s="4">
        <f t="shared" si="175"/>
        <v>0</v>
      </c>
      <c r="M220" s="4">
        <f t="shared" si="175"/>
        <v>0</v>
      </c>
      <c r="N220" s="4">
        <f t="shared" si="175"/>
        <v>0</v>
      </c>
    </row>
    <row r="221" spans="4:14" x14ac:dyDescent="0.25">
      <c r="D221" s="4" t="b">
        <f>D215=D189</f>
        <v>1</v>
      </c>
      <c r="E221" s="4" t="b">
        <f t="shared" ref="E221:F221" si="176">E215=E189</f>
        <v>1</v>
      </c>
      <c r="F221" s="4" t="b">
        <f t="shared" si="176"/>
        <v>1</v>
      </c>
      <c r="G221" s="4">
        <f>G213-G188</f>
        <v>0</v>
      </c>
      <c r="H221" s="4">
        <f t="shared" ref="H221:N221" si="177">H213-H188</f>
        <v>0</v>
      </c>
      <c r="I221" s="4">
        <f t="shared" si="177"/>
        <v>0</v>
      </c>
      <c r="J221" s="4">
        <f t="shared" si="177"/>
        <v>0</v>
      </c>
      <c r="K221" s="4">
        <f t="shared" si="177"/>
        <v>0</v>
      </c>
      <c r="L221" s="4">
        <f t="shared" si="177"/>
        <v>0</v>
      </c>
      <c r="M221" s="4">
        <f t="shared" si="177"/>
        <v>0</v>
      </c>
      <c r="N221" s="4">
        <f t="shared" si="177"/>
        <v>0</v>
      </c>
    </row>
    <row r="224" spans="4:14" x14ac:dyDescent="0.25">
      <c r="D224" s="8"/>
      <c r="E224" s="8"/>
    </row>
  </sheetData>
  <mergeCells count="140">
    <mergeCell ref="A19:A20"/>
    <mergeCell ref="O19:O20"/>
    <mergeCell ref="A12:O12"/>
    <mergeCell ref="A13:O13"/>
    <mergeCell ref="A14:A16"/>
    <mergeCell ref="O14:O16"/>
    <mergeCell ref="A17:A18"/>
    <mergeCell ref="O17:O18"/>
    <mergeCell ref="A7:O7"/>
    <mergeCell ref="A8:O8"/>
    <mergeCell ref="A9:A10"/>
    <mergeCell ref="B9:B10"/>
    <mergeCell ref="C9:C10"/>
    <mergeCell ref="D9:N9"/>
    <mergeCell ref="O9:O10"/>
    <mergeCell ref="A25:A26"/>
    <mergeCell ref="O25:O26"/>
    <mergeCell ref="A29:A30"/>
    <mergeCell ref="O29:O30"/>
    <mergeCell ref="A31:A32"/>
    <mergeCell ref="O31:O32"/>
    <mergeCell ref="A21:A22"/>
    <mergeCell ref="O21:O22"/>
    <mergeCell ref="A23:A24"/>
    <mergeCell ref="O23:O24"/>
    <mergeCell ref="A27:A28"/>
    <mergeCell ref="O27:O28"/>
    <mergeCell ref="A42:A43"/>
    <mergeCell ref="O42:O43"/>
    <mergeCell ref="A44:A45"/>
    <mergeCell ref="O44:O45"/>
    <mergeCell ref="A46:A47"/>
    <mergeCell ref="O46:O47"/>
    <mergeCell ref="A33:O33"/>
    <mergeCell ref="A34:O34"/>
    <mergeCell ref="A35:A38"/>
    <mergeCell ref="O35:O38"/>
    <mergeCell ref="A39:A41"/>
    <mergeCell ref="O39:O41"/>
    <mergeCell ref="A48:A49"/>
    <mergeCell ref="O48:O49"/>
    <mergeCell ref="O50:O52"/>
    <mergeCell ref="A50:A52"/>
    <mergeCell ref="A67:A68"/>
    <mergeCell ref="O67:O68"/>
    <mergeCell ref="A71:A73"/>
    <mergeCell ref="O71:O73"/>
    <mergeCell ref="A74:A77"/>
    <mergeCell ref="O74:O77"/>
    <mergeCell ref="A57:O57"/>
    <mergeCell ref="A58:O58"/>
    <mergeCell ref="A63:A66"/>
    <mergeCell ref="O63:O66"/>
    <mergeCell ref="A69:A70"/>
    <mergeCell ref="O69:O70"/>
    <mergeCell ref="A59:A62"/>
    <mergeCell ref="O59:O62"/>
    <mergeCell ref="A53:A55"/>
    <mergeCell ref="A87:A88"/>
    <mergeCell ref="O87:O88"/>
    <mergeCell ref="A84:A85"/>
    <mergeCell ref="O84:O85"/>
    <mergeCell ref="A86:O86"/>
    <mergeCell ref="A78:A79"/>
    <mergeCell ref="O78:O79"/>
    <mergeCell ref="A80:A81"/>
    <mergeCell ref="O80:O81"/>
    <mergeCell ref="A82:A83"/>
    <mergeCell ref="O82:O83"/>
    <mergeCell ref="A110:A112"/>
    <mergeCell ref="O110:O112"/>
    <mergeCell ref="A99:A101"/>
    <mergeCell ref="O99:O101"/>
    <mergeCell ref="A102:A105"/>
    <mergeCell ref="A106:A109"/>
    <mergeCell ref="O106:O109"/>
    <mergeCell ref="A89:A90"/>
    <mergeCell ref="O89:O90"/>
    <mergeCell ref="A91:A94"/>
    <mergeCell ref="O91:O94"/>
    <mergeCell ref="A95:A98"/>
    <mergeCell ref="O95:O98"/>
    <mergeCell ref="O102:O105"/>
    <mergeCell ref="A202:A204"/>
    <mergeCell ref="A182:A184"/>
    <mergeCell ref="A195:A197"/>
    <mergeCell ref="A198:A201"/>
    <mergeCell ref="A175:A177"/>
    <mergeCell ref="O175:O177"/>
    <mergeCell ref="A178:A179"/>
    <mergeCell ref="O178:O179"/>
    <mergeCell ref="A180:A181"/>
    <mergeCell ref="O180:O181"/>
    <mergeCell ref="A185:A189"/>
    <mergeCell ref="A190:A194"/>
    <mergeCell ref="A113:A115"/>
    <mergeCell ref="O113:O115"/>
    <mergeCell ref="A116:A118"/>
    <mergeCell ref="O116:O118"/>
    <mergeCell ref="A119:A121"/>
    <mergeCell ref="O119:O121"/>
    <mergeCell ref="A122:A124"/>
    <mergeCell ref="O122:O124"/>
    <mergeCell ref="A165:O165"/>
    <mergeCell ref="A137:A138"/>
    <mergeCell ref="O137:O138"/>
    <mergeCell ref="A139:A140"/>
    <mergeCell ref="O139:O140"/>
    <mergeCell ref="A141:A142"/>
    <mergeCell ref="O141:O142"/>
    <mergeCell ref="A125:A128"/>
    <mergeCell ref="A129:O129"/>
    <mergeCell ref="A130:O130"/>
    <mergeCell ref="A131:A133"/>
    <mergeCell ref="O131:O133"/>
    <mergeCell ref="A134:A136"/>
    <mergeCell ref="O134:O136"/>
    <mergeCell ref="A147:A150"/>
    <mergeCell ref="O147:O150"/>
    <mergeCell ref="A166:A168"/>
    <mergeCell ref="O166:O168"/>
    <mergeCell ref="A169:A171"/>
    <mergeCell ref="O169:O171"/>
    <mergeCell ref="A172:A174"/>
    <mergeCell ref="O172:O174"/>
    <mergeCell ref="A143:A144"/>
    <mergeCell ref="O143:O144"/>
    <mergeCell ref="A145:A146"/>
    <mergeCell ref="O145:O146"/>
    <mergeCell ref="A160:A163"/>
    <mergeCell ref="A164:O164"/>
    <mergeCell ref="A151:O151"/>
    <mergeCell ref="O152:O153"/>
    <mergeCell ref="O154:O155"/>
    <mergeCell ref="O156:O157"/>
    <mergeCell ref="O158:O159"/>
    <mergeCell ref="A152:A153"/>
    <mergeCell ref="A154:A155"/>
    <mergeCell ref="A156:A157"/>
    <mergeCell ref="A158:A159"/>
  </mergeCells>
  <pageMargins left="1.1811023622047245" right="0.39370078740157483" top="1.3779527559055118" bottom="0.39370078740157483" header="0.98425196850393704" footer="0.70866141732283472"/>
  <pageSetup paperSize="8" scale="32" firstPageNumber="16" fitToHeight="0" orientation="landscape" useFirstPageNumber="1" r:id="rId1"/>
  <headerFooter>
    <oddHeader>&amp;C&amp;"Times New Roman,обычный"&amp;24&amp;P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4</vt:lpstr>
      <vt:lpstr>'таблица 4'!Заголовки_для_печати</vt:lpstr>
      <vt:lpstr>'таблица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Бурик Наталья Витальевна</cp:lastModifiedBy>
  <cp:lastPrinted>2020-10-22T12:58:16Z</cp:lastPrinted>
  <dcterms:created xsi:type="dcterms:W3CDTF">2019-09-27T04:06:04Z</dcterms:created>
  <dcterms:modified xsi:type="dcterms:W3CDTF">2020-10-29T10:12:08Z</dcterms:modified>
</cp:coreProperties>
</file>