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rger_os\Documents\"/>
    </mc:Choice>
  </mc:AlternateContent>
  <bookViews>
    <workbookView xWindow="0" yWindow="0" windowWidth="28800" windowHeight="11700" tabRatio="518"/>
  </bookViews>
  <sheets>
    <sheet name="на 01.06.2016" sheetId="1" r:id="rId1"/>
    <sheet name="перечень" sheetId="2" r:id="rId2"/>
  </sheets>
  <definedNames>
    <definedName name="_xlnm._FilterDatabase" localSheetId="0" hidden="1">'на 01.06.2016'!$A$9:$S$1215</definedName>
    <definedName name="_xlnm._FilterDatabase" localSheetId="1" hidden="1">перечень!$A$3:$D$30</definedName>
    <definedName name="Z_0217F586_7BE2_4803_B88F_1646729DF76E_.wvu.FilterData" localSheetId="0" hidden="1">'на 01.06.2016'!$A$9:$S$1215</definedName>
    <definedName name="Z_040F7A53_882C_426B_A971_3BA4E7F819F6_.wvu.FilterData" localSheetId="0" hidden="1">'на 01.06.2016'!$A$9:$L$416</definedName>
    <definedName name="Z_05C1E2BB_B583_44DD_A8AC_FBF87A053735_.wvu.FilterData" localSheetId="0" hidden="1">'на 01.06.2016'!$A$9:$L$416</definedName>
    <definedName name="Z_05C9DD0B_EBEE_40E7_A642_8B2CDCC810BA_.wvu.FilterData" localSheetId="0" hidden="1">'на 01.06.2016'!$A$9:$L$416</definedName>
    <definedName name="Z_0623BA59_06E0_47C4_A9E0_EFF8949456C2_.wvu.FilterData" localSheetId="0" hidden="1">'на 01.06.2016'!$A$9:$L$416</definedName>
    <definedName name="Z_079216EF_F396_45DE_93AA_DF26C49F532F_.wvu.FilterData" localSheetId="0" hidden="1">'на 01.06.2016'!$A$9:$L$416</definedName>
    <definedName name="Z_081D092E_BCFD_434D_99DD_F262EBF81A7D_.wvu.FilterData" localSheetId="0" hidden="1">'на 01.06.2016'!$A$9:$L$416</definedName>
    <definedName name="Z_09EDEF91_2CA5_4F56_B67B_9D290C461670_.wvu.FilterData" localSheetId="0" hidden="1">'на 01.06.2016'!$A$9:$L$416</definedName>
    <definedName name="Z_0AC3FA68_E0C8_4657_AD81_AF6345EA501C_.wvu.FilterData" localSheetId="0" hidden="1">'на 01.06.2016'!$A$9:$L$416</definedName>
    <definedName name="Z_0B579593_C56D_4394_91C1_F024BBE56EB1_.wvu.FilterData" localSheetId="0" hidden="1">'на 01.06.2016'!$A$9:$L$416</definedName>
    <definedName name="Z_0BC55D76_817D_4871_ADFD_780685E85798_.wvu.FilterData" localSheetId="0" hidden="1">'на 01.06.2016'!$A$9:$S$1215</definedName>
    <definedName name="Z_0C6B39CB_8BE2_4437_B7EF_2B863FB64A7A_.wvu.FilterData" localSheetId="0" hidden="1">'на 01.06.2016'!$A$9:$L$416</definedName>
    <definedName name="Z_0C81132D_0EFB_424B_A2C0_D694846C9416_.wvu.FilterData" localSheetId="0" hidden="1">'на 01.06.2016'!$A$9:$S$1215</definedName>
    <definedName name="Z_0C8C20D3_1DCE_4FE1_95B1_F35D8D398254_.wvu.FilterData" localSheetId="0" hidden="1">'на 01.06.2016'!$A$9:$L$416</definedName>
    <definedName name="Z_0CC9441C_88E9_46D0_951D_A49C84EDA8CE_.wvu.FilterData" localSheetId="0" hidden="1">'на 01.06.2016'!$A$9:$S$1215</definedName>
    <definedName name="Z_0CF3E93E_60F6_45C8_AD33_C2CE08831546_.wvu.FilterData" localSheetId="0" hidden="1">'на 01.06.2016'!$A$9:$L$416</definedName>
    <definedName name="Z_0D7F5190_D20E_42FD_AD77_53CB309C7272_.wvu.FilterData" localSheetId="0" hidden="1">'на 01.06.2016'!$A$9:$L$416</definedName>
    <definedName name="Z_0E6786D8_AC3A_48D5_9AD7_4E7485DB6D9C_.wvu.FilterData" localSheetId="0" hidden="1">'на 01.06.2016'!$A$9:$L$416</definedName>
    <definedName name="Z_105D23B5_3830_4B2C_A4D4_FBFBD3BEFB9C_.wvu.FilterData" localSheetId="0" hidden="1">'на 01.06.2016'!$A$9:$L$416</definedName>
    <definedName name="Z_12397037_6208_4B36_BC95_11438284A9DE_.wvu.FilterData" localSheetId="0" hidden="1">'на 01.06.2016'!$A$9:$L$416</definedName>
    <definedName name="Z_1315266B_953C_4E7F_B538_74B6DF400647_.wvu.FilterData" localSheetId="0" hidden="1">'на 01.06.2016'!$A$9:$L$416</definedName>
    <definedName name="Z_13E7ADA2_058C_4412_9AEA_31547694DD5C_.wvu.FilterData" localSheetId="0" hidden="1">'на 01.06.2016'!$A$9:$L$416</definedName>
    <definedName name="Z_16533C21_4A9A_450C_8A94_553B88C3A9CF_.wvu.FilterData" localSheetId="0" hidden="1">'на 01.06.2016'!$A$9:$L$416</definedName>
    <definedName name="Z_1682CF4C_6BE2_4E45_A613_382D117E51BF_.wvu.FilterData" localSheetId="0" hidden="1">'на 01.06.2016'!$A$9:$S$1215</definedName>
    <definedName name="Z_168FD5D4_D13B_47B9_8E56_61C627E3620F_.wvu.FilterData" localSheetId="0" hidden="1">'на 01.06.2016'!$A$9:$L$416</definedName>
    <definedName name="Z_176FBEC7_B2AF_4702_A894_382F81F9ECF6_.wvu.FilterData" localSheetId="0" hidden="1">'на 01.06.2016'!$A$9:$L$416</definedName>
    <definedName name="Z_17AEC02B_67B1_483A_97D2_C1C6DFD21518_.wvu.FilterData" localSheetId="0" hidden="1">'на 01.06.2016'!$A$9:$S$1215</definedName>
    <definedName name="Z_19510E6E_7565_4AC2_BCB4_A345501456B6_.wvu.FilterData" localSheetId="0" hidden="1">'на 01.06.2016'!$A$9:$L$416</definedName>
    <definedName name="Z_1ADD4354_436F_41C7_AFD6_B73FA2D9BC20_.wvu.FilterData" localSheetId="0" hidden="1">'на 01.06.2016'!$A$9:$S$1215</definedName>
    <definedName name="Z_1C384A54_E3F0_4C1E_862E_6CD9154B364F_.wvu.FilterData" localSheetId="0" hidden="1">'на 01.06.2016'!$A$9:$S$1215</definedName>
    <definedName name="Z_1C3DF549_BEC3_47F7_8F0B_A96D42597ECF_.wvu.FilterData" localSheetId="0" hidden="1">'на 01.06.2016'!$A$9:$L$416</definedName>
    <definedName name="Z_1C681B2A_8932_44D9_BF50_EA5DBCC10436_.wvu.FilterData" localSheetId="0" hidden="1">'на 01.06.2016'!$A$9:$L$416</definedName>
    <definedName name="Z_1CEF9102_6C60_416B_8820_19DA6CA2FF8F_.wvu.FilterData" localSheetId="0" hidden="1">'на 01.06.2016'!$A$9:$S$1215</definedName>
    <definedName name="Z_1D2C2901_70D8_494F_B885_AA5F7F9A1D2E_.wvu.FilterData" localSheetId="0" hidden="1">'на 01.06.2016'!$A$9:$S$1215</definedName>
    <definedName name="Z_1F274A4D_4DCC_44CA_A1BD_90B7EE180486_.wvu.FilterData" localSheetId="0" hidden="1">'на 01.06.2016'!$A$9:$L$416</definedName>
    <definedName name="Z_1F6B5B08_FAE9_43CF_A27B_EE7ACD6D4DF6_.wvu.FilterData" localSheetId="0" hidden="1">'на 01.06.2016'!$A$9:$S$1215</definedName>
    <definedName name="Z_1F885BC0_FA2D_45E9_BC66_C7BA68F6529B_.wvu.FilterData" localSheetId="0" hidden="1">'на 01.06.2016'!$A$9:$S$1215</definedName>
    <definedName name="Z_1FF678B1_7F2B_4362_81E7_D3C79ED64B95_.wvu.FilterData" localSheetId="0" hidden="1">'на 01.06.2016'!$A$9:$L$416</definedName>
    <definedName name="Z_216AEA56_C079_4104_83C7_B22F3C2C4895_.wvu.FilterData" localSheetId="0" hidden="1">'на 01.06.2016'!$A$9:$L$416</definedName>
    <definedName name="Z_2181C7D4_AA52_40AC_A808_5D532F9A4DB9_.wvu.FilterData" localSheetId="0" hidden="1">'на 01.06.2016'!$A$9:$L$416</definedName>
    <definedName name="Z_222CB208_6EE7_4ACF_9056_A80606B8DEAE_.wvu.FilterData" localSheetId="0" hidden="1">'на 01.06.2016'!$A$9:$S$1215</definedName>
    <definedName name="Z_22A3361C_6866_4206_B8FA_E848438D95B8_.wvu.FilterData" localSheetId="0" hidden="1">'на 01.06.2016'!$A$9:$L$416</definedName>
    <definedName name="Z_24D1D1DF_90B3_41D1_82E1_05DE887CC58D_.wvu.FilterData" localSheetId="0" hidden="1">'на 01.06.2016'!$A$9:$L$416</definedName>
    <definedName name="Z_24E5C1BC_322C_4FEF_B964_F0DCC04482C1_.wvu.Cols" localSheetId="0" hidden="1">'на 01.06.2016'!#REF!,'на 01.06.2016'!#REF!</definedName>
    <definedName name="Z_24E5C1BC_322C_4FEF_B964_F0DCC04482C1_.wvu.FilterData" localSheetId="0" hidden="1">'на 01.06.2016'!$A$9:$L$416</definedName>
    <definedName name="Z_24E5C1BC_322C_4FEF_B964_F0DCC04482C1_.wvu.Rows" localSheetId="0" hidden="1">'на 01.06.2016'!#REF!</definedName>
    <definedName name="Z_26E7CD7D_71FD_4075_B268_E6444384CE7D_.wvu.FilterData" localSheetId="0" hidden="1">'на 01.06.2016'!$A$9:$L$416</definedName>
    <definedName name="Z_2751B79E_F60F_449F_9B1A_ED01F0EE4A3F_.wvu.FilterData" localSheetId="0" hidden="1">'на 01.06.2016'!$A$9:$S$1215</definedName>
    <definedName name="Z_28008BE5_0693_468D_890E_2AE562EDDFCA_.wvu.FilterData" localSheetId="0" hidden="1">'на 01.06.2016'!$A$9:$L$416</definedName>
    <definedName name="Z_2B4EF399_1F78_4650_9196_70339D27DB54_.wvu.FilterData" localSheetId="0" hidden="1">'на 01.06.2016'!$A$9:$S$1215</definedName>
    <definedName name="Z_2C029299_5EEC_4151_A9E2_241D31E08692_.wvu.FilterData" localSheetId="0" hidden="1">'на 01.06.2016'!$A$9:$S$1215</definedName>
    <definedName name="Z_2C47EAD7_6B0B_40AB_9599_0BF3302E35F1_.wvu.FilterData" localSheetId="0" hidden="1">'на 01.06.2016'!$A$9:$L$416</definedName>
    <definedName name="Z_2D011736_53B8_48A8_8C2E_71DD995F6546_.wvu.FilterData" localSheetId="0" hidden="1">'на 01.06.2016'!$A$9:$S$1215</definedName>
    <definedName name="Z_2D918A37_6905_4BEF_BC3A_DA45E968DAC3_.wvu.FilterData" localSheetId="0" hidden="1">'на 01.06.2016'!$A$9:$L$416</definedName>
    <definedName name="Z_2DF88C31_E5A0_4DFE_877D_5A31D3992603_.wvu.Rows" localSheetId="0" hidden="1">'на 01.06.2016'!$273:$284,'на 01.06.2016'!#REF!,'на 01.06.2016'!#REF!,'на 01.06.2016'!#REF!,'на 01.06.2016'!#REF!,'на 01.06.2016'!#REF!,'на 01.06.2016'!#REF!,'на 01.06.2016'!#REF!,'на 01.06.2016'!#REF!,'на 01.06.2016'!#REF!,'на 01.06.2016'!#REF!</definedName>
    <definedName name="Z_2F3BAFC5_8792_4BC0_833F_5CB9ACB14A14_.wvu.FilterData" localSheetId="0" hidden="1">'на 01.06.2016'!$A$9:$L$416</definedName>
    <definedName name="Z_2F7AC811_CA37_46E3_866E_6E10DF43054A_.wvu.FilterData" localSheetId="0" hidden="1">'на 01.06.2016'!$A$9:$S$1215</definedName>
    <definedName name="Z_2F7AC811_CA37_46E3_866E_6E10DF43054A_.wvu.FilterData" localSheetId="1" hidden="1">перечень!$A$3:$D$30</definedName>
    <definedName name="Z_2F7AC811_CA37_46E3_866E_6E10DF43054A_.wvu.PrintArea" localSheetId="1" hidden="1">перечень!$A$1:$J$34</definedName>
    <definedName name="Z_2F7AC811_CA37_46E3_866E_6E10DF43054A_.wvu.PrintTitles" localSheetId="1" hidden="1">перечень!$3:$3</definedName>
    <definedName name="Z_315B3829_E75D_48BB_A407_88A96C0D6A4B_.wvu.FilterData" localSheetId="0" hidden="1">'на 01.06.2016'!$A$9:$S$1215</definedName>
    <definedName name="Z_31985263_3556_4B71_A26F_62706F49B320_.wvu.FilterData" localSheetId="0" hidden="1">'на 01.06.2016'!$A$9:$L$416</definedName>
    <definedName name="Z_31EABA3C_DD8D_46BF_85B1_09527EF8E816_.wvu.FilterData" localSheetId="0" hidden="1">'на 01.06.2016'!$A$9:$L$416</definedName>
    <definedName name="Z_328B1FBD_B9E0_4F8C_AA1F_438ED0F19823_.wvu.FilterData" localSheetId="0" hidden="1">'на 01.06.2016'!$A$9:$S$1215</definedName>
    <definedName name="Z_33081AFE_875F_4448_8DBB_C2288E582829_.wvu.FilterData" localSheetId="0" hidden="1">'на 01.06.2016'!$A$9:$S$1215</definedName>
    <definedName name="Z_34587A22_A707_48EC_A6D8_8CA0D443CB5A_.wvu.FilterData" localSheetId="0" hidden="1">'на 01.06.2016'!$A$9:$S$1215</definedName>
    <definedName name="Z_34E97F8E_B808_4C29_AFA8_24160BA8B576_.wvu.FilterData" localSheetId="0" hidden="1">'на 01.06.2016'!$A$9:$L$416</definedName>
    <definedName name="Z_3597F15D_13FB_47E4_B2D7_0713796F1B32_.wvu.FilterData" localSheetId="0" hidden="1">'на 01.06.2016'!$A$9:$L$416</definedName>
    <definedName name="Z_36279478_DEDD_46A7_8B6D_9500CB65A35C_.wvu.FilterData" localSheetId="0" hidden="1">'на 01.06.2016'!$A$9:$L$416</definedName>
    <definedName name="Z_36282042_958F_4D98_9515_9E9271F26AA2_.wvu.FilterData" localSheetId="0" hidden="1">'на 01.06.2016'!$A$9:$L$416</definedName>
    <definedName name="Z_36AEB3FF_FCBC_4E21_8EFE_F20781816ED3_.wvu.FilterData" localSheetId="0" hidden="1">'на 01.06.2016'!$A$9:$L$416</definedName>
    <definedName name="Z_371CA4AD_891B_4B1D_9403_45AB26546607_.wvu.FilterData" localSheetId="0" hidden="1">'на 01.06.2016'!$A$9:$S$1215</definedName>
    <definedName name="Z_37F8CE32_8CE8_4D95_9C0E_63112E6EFFE9_.wvu.Cols" localSheetId="0" hidden="1">'на 01.06.2016'!#REF!</definedName>
    <definedName name="Z_37F8CE32_8CE8_4D95_9C0E_63112E6EFFE9_.wvu.FilterData" localSheetId="0" hidden="1">'на 01.06.2016'!$A$9:$L$416</definedName>
    <definedName name="Z_37F8CE32_8CE8_4D95_9C0E_63112E6EFFE9_.wvu.PrintArea" localSheetId="0" hidden="1">'на 01.06.2016'!$A$1:$S$416</definedName>
    <definedName name="Z_37F8CE32_8CE8_4D95_9C0E_63112E6EFFE9_.wvu.PrintTitles" localSheetId="0" hidden="1">'на 01.06.2016'!$7:$10</definedName>
    <definedName name="Z_37F8CE32_8CE8_4D95_9C0E_63112E6EFFE9_.wvu.Rows" localSheetId="0" hidden="1">'на 01.06.2016'!$273:$284,'на 01.06.2016'!$29:$34,'на 01.06.2016'!#REF!,'на 01.06.2016'!#REF!,'на 01.06.2016'!#REF!,'на 01.06.2016'!#REF!,'на 01.06.2016'!#REF!,'на 01.06.2016'!#REF!,'на 01.06.2016'!#REF!,'на 01.06.2016'!#REF!,'на 01.06.2016'!#REF!,'на 01.06.2016'!#REF!,'на 01.06.2016'!#REF!,'на 01.06.2016'!#REF!,'на 01.06.2016'!#REF!,'на 01.06.2016'!#REF!,'на 01.06.2016'!#REF!</definedName>
    <definedName name="Z_3AAEA08B_779A_471D_BFA0_0D98BF9A4FAD_.wvu.FilterData" localSheetId="0" hidden="1">'на 01.06.2016'!$A$9:$L$416</definedName>
    <definedName name="Z_3C9F72CF_10C2_48CF_BBB6_A2B9A1393F37_.wvu.FilterData" localSheetId="0" hidden="1">'на 01.06.2016'!$A$9:$L$416</definedName>
    <definedName name="Z_3D1280C8_646B_4BB2_862F_8A8207220C6A_.wvu.FilterData" localSheetId="0" hidden="1">'на 01.06.2016'!$A$9:$L$416</definedName>
    <definedName name="Z_3DB4F6FC_CE58_4083_A6ED_88DCB901BB99_.wvu.FilterData" localSheetId="0" hidden="1">'на 01.06.2016'!$A$9:$L$416</definedName>
    <definedName name="Z_3FE8ACF3_2097_4BA9_8230_2DBD30F09632_.wvu.FilterData" localSheetId="0" hidden="1">'на 01.06.2016'!$A$9:$S$1215</definedName>
    <definedName name="Z_3FEDCFF8_5450_469D_9A9E_38AB8819A083_.wvu.FilterData" localSheetId="0" hidden="1">'на 01.06.2016'!$A$9:$S$1215</definedName>
    <definedName name="Z_402DFE3F_A5E1_41E8_BB4F_E3062FAE22D8_.wvu.FilterData" localSheetId="0" hidden="1">'на 01.06.2016'!$A$9:$S$1215</definedName>
    <definedName name="Z_403313B7_B74E_4D03_8AB9_B2A52A5BA330_.wvu.FilterData" localSheetId="0" hidden="1">'на 01.06.2016'!$A$9:$L$416</definedName>
    <definedName name="Z_4055661A_C391_44E3_B71B_DF824D593415_.wvu.FilterData" localSheetId="0" hidden="1">'на 01.06.2016'!$A$9:$L$416</definedName>
    <definedName name="Z_415B8653_FE9C_472E_85AE_9CFA9B00FD5E_.wvu.FilterData" localSheetId="0" hidden="1">'на 01.06.2016'!$A$9:$L$416</definedName>
    <definedName name="Z_4388DD05_A74C_4C1C_A344_6EEDB2F4B1B0_.wvu.FilterData" localSheetId="0" hidden="1">'на 01.06.2016'!$A$9:$L$416</definedName>
    <definedName name="Z_445590C0_7350_4A17_AB85_F8DCF9494ECC_.wvu.FilterData" localSheetId="0" hidden="1">'на 01.06.2016'!$A$9:$L$416</definedName>
    <definedName name="Z_45D27932_FD3D_46DE_B431_4E5606457D7F_.wvu.FilterData" localSheetId="0" hidden="1">'на 01.06.2016'!$A$9:$L$416</definedName>
    <definedName name="Z_45DE1976_7F07_4EB4_8A9C_FB72D060BEFA_.wvu.Cols" localSheetId="0" hidden="1">'на 01.06.2016'!$D:$F,'на 01.06.2016'!$Q:$R</definedName>
    <definedName name="Z_45DE1976_7F07_4EB4_8A9C_FB72D060BEFA_.wvu.FilterData" localSheetId="0" hidden="1">'на 01.06.2016'!$A$9:$S$1215</definedName>
    <definedName name="Z_45DE1976_7F07_4EB4_8A9C_FB72D060BEFA_.wvu.FilterData" localSheetId="1" hidden="1">перечень!$A$3:$D$30</definedName>
    <definedName name="Z_45DE1976_7F07_4EB4_8A9C_FB72D060BEFA_.wvu.PrintArea" localSheetId="0" hidden="1">'на 01.06.2016'!$A$1:$S$996</definedName>
    <definedName name="Z_45DE1976_7F07_4EB4_8A9C_FB72D060BEFA_.wvu.PrintArea" localSheetId="1" hidden="1">перечень!$A$1:$J$34</definedName>
    <definedName name="Z_45DE1976_7F07_4EB4_8A9C_FB72D060BEFA_.wvu.PrintTitles" localSheetId="0" hidden="1">'на 01.06.2016'!$7:$10</definedName>
    <definedName name="Z_45DE1976_7F07_4EB4_8A9C_FB72D060BEFA_.wvu.PrintTitles" localSheetId="1" hidden="1">перечень!$3:$3</definedName>
    <definedName name="Z_45DE1976_7F07_4EB4_8A9C_FB72D060BEFA_.wvu.Rows" localSheetId="0" hidden="1">'на 01.06.2016'!$118:$118,'на 01.06.2016'!$236:$236,'на 01.06.2016'!$662:$662,'на 01.06.2016'!$668:$668,'на 01.06.2016'!$680:$680</definedName>
    <definedName name="Z_47DE35B6_B347_4C65_8E49_C2008CA773EB_.wvu.FilterData" localSheetId="0" hidden="1">'на 01.06.2016'!$A$9:$L$416</definedName>
    <definedName name="Z_486156AC_4370_4C02_BA8A_CB9B49D1A8EC_.wvu.FilterData" localSheetId="0" hidden="1">'на 01.06.2016'!$A$9:$S$1215</definedName>
    <definedName name="Z_4AF0FF7E_D940_4246_AB71_AC8FEDA2EF24_.wvu.FilterData" localSheetId="0" hidden="1">'на 01.06.2016'!$A$9:$S$1215</definedName>
    <definedName name="Z_4BB7905C_0E11_42F1_848D_90186131796A_.wvu.FilterData" localSheetId="0" hidden="1">'на 01.06.2016'!$A$9:$L$416</definedName>
    <definedName name="Z_4C1FE39D_945F_4F14_94DF_F69B283DCD9F_.wvu.FilterData" localSheetId="0" hidden="1">'на 01.06.2016'!$A$9:$L$416</definedName>
    <definedName name="Z_4CEB490B_58FB_4CA0_AAF2_63178FECD849_.wvu.FilterData" localSheetId="0" hidden="1">'на 01.06.2016'!$A$9:$S$1215</definedName>
    <definedName name="Z_5039ACE2_215B_49F3_AC23_F5E171EB2E04_.wvu.FilterData" localSheetId="0" hidden="1">'на 01.06.2016'!$A$9:$S$1215</definedName>
    <definedName name="Z_52C40832_4D48_45A4_B802_95C62DCB5A61_.wvu.FilterData" localSheetId="0" hidden="1">'на 01.06.2016'!$A$9:$L$416</definedName>
    <definedName name="Z_539CB3DF_9B66_4BE7_9074_8CE0405EB8A6_.wvu.Cols" localSheetId="0" hidden="1">'на 01.06.2016'!$D:$F,'на 01.06.2016'!$Q:$R</definedName>
    <definedName name="Z_539CB3DF_9B66_4BE7_9074_8CE0405EB8A6_.wvu.FilterData" localSheetId="0" hidden="1">'на 01.06.2016'!$A$9:$S$1215</definedName>
    <definedName name="Z_539CB3DF_9B66_4BE7_9074_8CE0405EB8A6_.wvu.FilterData" localSheetId="1" hidden="1">перечень!$A$3:$D$30</definedName>
    <definedName name="Z_539CB3DF_9B66_4BE7_9074_8CE0405EB8A6_.wvu.PrintArea" localSheetId="0" hidden="1">'на 01.06.2016'!$A$1:$S$996</definedName>
    <definedName name="Z_539CB3DF_9B66_4BE7_9074_8CE0405EB8A6_.wvu.PrintArea" localSheetId="1" hidden="1">перечень!$A$1:$J$34</definedName>
    <definedName name="Z_539CB3DF_9B66_4BE7_9074_8CE0405EB8A6_.wvu.PrintTitles" localSheetId="0" hidden="1">'на 01.06.2016'!$7:$10</definedName>
    <definedName name="Z_539CB3DF_9B66_4BE7_9074_8CE0405EB8A6_.wvu.PrintTitles" localSheetId="1" hidden="1">перечень!$3:$3</definedName>
    <definedName name="Z_55266A36_B6A9_42E1_8467_17D14F12BABD_.wvu.FilterData" localSheetId="0" hidden="1">'на 01.06.2016'!$A$9:$L$416</definedName>
    <definedName name="Z_565A1A16_6A4F_4794_B3C1_1808DC7E86C0_.wvu.FilterData" localSheetId="0" hidden="1">'на 01.06.2016'!$A$9:$L$416</definedName>
    <definedName name="Z_568C3823_FEE7_49C8_B4CF_3D48541DA65C_.wvu.FilterData" localSheetId="0" hidden="1">'на 01.06.2016'!$A$9:$L$416</definedName>
    <definedName name="Z_5696C387_34DF_4BED_BB60_2D85436D9DA8_.wvu.FilterData" localSheetId="0" hidden="1">'на 01.06.2016'!$A$9:$S$1215</definedName>
    <definedName name="Z_56C18D87_C587_43F7_9147_D7827AADF66D_.wvu.FilterData" localSheetId="0" hidden="1">'на 01.06.2016'!$A$9:$L$416</definedName>
    <definedName name="Z_5729DC83_8713_4B21_9D2C_8A74D021747E_.wvu.FilterData" localSheetId="0" hidden="1">'на 01.06.2016'!$A$9:$L$416</definedName>
    <definedName name="Z_5730431A_42FA_4886_8F76_DA9C1179F65B_.wvu.FilterData" localSheetId="0" hidden="1">'на 01.06.2016'!$A$9:$S$1215</definedName>
    <definedName name="Z_58270B81_2C5A_44D4_84D8_B29B6BA03243_.wvu.FilterData" localSheetId="0" hidden="1">'на 01.06.2016'!$A$9:$L$416</definedName>
    <definedName name="Z_58EAD7A7_C312_4E53_9D90_6DB268F00AAE_.wvu.FilterData" localSheetId="0" hidden="1">'на 01.06.2016'!$A$9:$S$1215</definedName>
    <definedName name="Z_59074C03_1A19_4344_8FE1_916D5A98CD29_.wvu.FilterData" localSheetId="0" hidden="1">'на 01.06.2016'!$A$9:$S$1215</definedName>
    <definedName name="Z_59F91900_CAE9_4608_97BE_FBC0993C389F_.wvu.FilterData" localSheetId="0" hidden="1">'на 01.06.2016'!$A$9:$L$416</definedName>
    <definedName name="Z_5C13A1A0_C535_4639_90BE_9B5D72B8AEDB_.wvu.FilterData" localSheetId="0" hidden="1">'на 01.06.2016'!$A$9:$L$416</definedName>
    <definedName name="Z_5CDE7466_9008_4EE8_8F19_E26D937B15F6_.wvu.FilterData" localSheetId="0" hidden="1">'на 01.06.2016'!$A$9:$L$416</definedName>
    <definedName name="Z_5EB104F4_627D_44E7_960F_6C67063C7D09_.wvu.FilterData" localSheetId="0" hidden="1">'на 01.06.2016'!$A$9:$S$1215</definedName>
    <definedName name="Z_5FB953A5_71FF_4056_AF98_C9D06FF0EDF3_.wvu.Cols" localSheetId="0" hidden="1">'на 01.06.2016'!$D:$F,'на 01.06.2016'!$Q:$R</definedName>
    <definedName name="Z_5FB953A5_71FF_4056_AF98_C9D06FF0EDF3_.wvu.FilterData" localSheetId="0" hidden="1">'на 01.06.2016'!$A$9:$S$1215</definedName>
    <definedName name="Z_5FB953A5_71FF_4056_AF98_C9D06FF0EDF3_.wvu.FilterData" localSheetId="1" hidden="1">перечень!$A$3:$D$30</definedName>
    <definedName name="Z_5FB953A5_71FF_4056_AF98_C9D06FF0EDF3_.wvu.PrintArea" localSheetId="0" hidden="1">'на 01.06.2016'!$A$1:$S$996</definedName>
    <definedName name="Z_5FB953A5_71FF_4056_AF98_C9D06FF0EDF3_.wvu.PrintArea" localSheetId="1" hidden="1">перечень!$A$1:$J$34</definedName>
    <definedName name="Z_5FB953A5_71FF_4056_AF98_C9D06FF0EDF3_.wvu.PrintTitles" localSheetId="0" hidden="1">'на 01.06.2016'!$7:$10</definedName>
    <definedName name="Z_5FB953A5_71FF_4056_AF98_C9D06FF0EDF3_.wvu.PrintTitles" localSheetId="1" hidden="1">перечень!$3:$3</definedName>
    <definedName name="Z_60657231_C99E_4191_A90E_C546FB588843_.wvu.FilterData" localSheetId="0" hidden="1">'на 01.06.2016'!$A$9:$L$416</definedName>
    <definedName name="Z_60B33E92_3815_4061_91AA_8E38B8895054_.wvu.FilterData" localSheetId="0" hidden="1">'на 01.06.2016'!$A$9:$L$416</definedName>
    <definedName name="Z_61D3C2BE_E5C3_4670_8A8C_5EA015D7BE13_.wvu.FilterData" localSheetId="0" hidden="1">'на 01.06.2016'!$A$9:$S$1215</definedName>
    <definedName name="Z_62534477_13C5_437C_87A9_3525FC60CE4D_.wvu.FilterData" localSheetId="0" hidden="1">'на 01.06.2016'!$A$9:$S$1215</definedName>
    <definedName name="Z_62691467_BD46_47AE_A6DF_52CBD0D9817B_.wvu.FilterData" localSheetId="0" hidden="1">'на 01.06.2016'!$A$9:$L$416</definedName>
    <definedName name="Z_62F2B5AA_C3D1_4669_A4A0_184285923B8F_.wvu.FilterData" localSheetId="0" hidden="1">'на 01.06.2016'!$A$9:$S$1215</definedName>
    <definedName name="Z_63720CAA_47FE_4977_B082_29E1534276C7_.wvu.FilterData" localSheetId="0" hidden="1">'на 01.06.2016'!$A$9:$S$1215</definedName>
    <definedName name="Z_638AAAE8_8FF2_44D0_A160_BB2A9AEB5B72_.wvu.FilterData" localSheetId="0" hidden="1">'на 01.06.2016'!$A$9:$L$416</definedName>
    <definedName name="Z_63D45DC6_0D62_438A_9069_0A4378090381_.wvu.FilterData" localSheetId="0" hidden="1">'на 01.06.2016'!$A$9:$L$416</definedName>
    <definedName name="Z_648AB040_BD0E_49A1_BA40_87D3D9C0BA55_.wvu.FilterData" localSheetId="0" hidden="1">'на 01.06.2016'!$A$9:$S$1215</definedName>
    <definedName name="Z_64C01F03_E840_4B6E_960F_5E13E0981676_.wvu.FilterData" localSheetId="0" hidden="1">'на 01.06.2016'!$A$9:$S$1215</definedName>
    <definedName name="Z_66550ABE_0FE4_4071_B1FA_6163FA599414_.wvu.FilterData" localSheetId="0" hidden="1">'на 01.06.2016'!$A$9:$S$1215</definedName>
    <definedName name="Z_6656F77C_55F8_4E1C_A222_2E884838D2F2_.wvu.FilterData" localSheetId="0" hidden="1">'на 01.06.2016'!$A$9:$S$1215</definedName>
    <definedName name="Z_67ADFAE6_A9AF_44D7_8539_93CD0F6B7849_.wvu.Cols" localSheetId="0" hidden="1">'на 01.06.2016'!$D:$F,'на 01.06.2016'!$Q:$R</definedName>
    <definedName name="Z_67ADFAE6_A9AF_44D7_8539_93CD0F6B7849_.wvu.FilterData" localSheetId="0" hidden="1">'на 01.06.2016'!$A$9:$S$1215</definedName>
    <definedName name="Z_67ADFAE6_A9AF_44D7_8539_93CD0F6B7849_.wvu.FilterData" localSheetId="1" hidden="1">перечень!$A$3:$D$30</definedName>
    <definedName name="Z_67ADFAE6_A9AF_44D7_8539_93CD0F6B7849_.wvu.PrintArea" localSheetId="0" hidden="1">'на 01.06.2016'!$A$1:$S$1017</definedName>
    <definedName name="Z_67ADFAE6_A9AF_44D7_8539_93CD0F6B7849_.wvu.PrintArea" localSheetId="1" hidden="1">перечень!$A$1:$J$34</definedName>
    <definedName name="Z_67ADFAE6_A9AF_44D7_8539_93CD0F6B7849_.wvu.PrintTitles" localSheetId="0" hidden="1">'на 01.06.2016'!$7:$10</definedName>
    <definedName name="Z_67ADFAE6_A9AF_44D7_8539_93CD0F6B7849_.wvu.PrintTitles" localSheetId="1" hidden="1">перечень!$3:$3</definedName>
    <definedName name="Z_67ADFAE6_A9AF_44D7_8539_93CD0F6B7849_.wvu.Rows" localSheetId="0" hidden="1">'на 01.06.2016'!$118:$118,'на 01.06.2016'!$236:$236,'на 01.06.2016'!$662:$662,'на 01.06.2016'!$668:$668,'на 01.06.2016'!$680:$680</definedName>
    <definedName name="Z_69321B6F_CF2A_4DAB_82CF_8CAAD629F257_.wvu.FilterData" localSheetId="0" hidden="1">'на 01.06.2016'!$A$9:$S$1215</definedName>
    <definedName name="Z_6BE4E62B_4F97_4F96_9638_8ADCE8F932B1_.wvu.FilterData" localSheetId="0" hidden="1">'на 01.06.2016'!$A$9:$L$416</definedName>
    <definedName name="Z_6BE735CC_AF2E_4F67_B22D_A8AB001D3353_.wvu.FilterData" localSheetId="0" hidden="1">'на 01.06.2016'!$A$9:$L$416</definedName>
    <definedName name="Z_6CF84B0C_144A_4CF4_A34E_B9147B738037_.wvu.FilterData" localSheetId="0" hidden="1">'на 01.06.2016'!$A$9:$L$416</definedName>
    <definedName name="Z_6D692D1F_2186_4B62_878B_AABF13F25116_.wvu.FilterData" localSheetId="0" hidden="1">'на 01.06.2016'!$A$9:$S$1215</definedName>
    <definedName name="Z_6E1926CF_4906_4A55_811C_617ED8BB98BA_.wvu.FilterData" localSheetId="0" hidden="1">'на 01.06.2016'!$A$9:$S$1215</definedName>
    <definedName name="Z_6E2D6686_B9FD_4BBA_8CD4_95C6386F5509_.wvu.FilterData" localSheetId="0" hidden="1">'на 01.06.2016'!$A$9:$L$416</definedName>
    <definedName name="Z_6F1223ED_6D7E_4BDC_97BD_57C6B16DF50B_.wvu.FilterData" localSheetId="0" hidden="1">'на 01.06.2016'!$A$9:$S$1215</definedName>
    <definedName name="Z_6F60BF81_D1A9_4E04_93E7_3EE7124B8D23_.wvu.FilterData" localSheetId="0" hidden="1">'на 01.06.2016'!$A$9:$L$416</definedName>
    <definedName name="Z_701E5EC3_E633_4389_A70E_4DD82E713CE4_.wvu.FilterData" localSheetId="0" hidden="1">'на 01.06.2016'!$A$9:$S$1215</definedName>
    <definedName name="Z_706D67E7_3361_40B2_829D_8844AB8060E2_.wvu.FilterData" localSheetId="0" hidden="1">'на 01.06.2016'!$A$9:$L$416</definedName>
    <definedName name="Z_7246383F_5A7C_4469_ABE5_F3DE99D7B98C_.wvu.FilterData" localSheetId="0" hidden="1">'на 01.06.2016'!$A$9:$L$416</definedName>
    <definedName name="Z_72971C39_5C91_4008_BD77_2DC24FDFDCB6_.wvu.FilterData" localSheetId="0" hidden="1">'на 01.06.2016'!$A$9:$S$1215</definedName>
    <definedName name="Z_742C8CE1_B323_4B6C_901C_E2B713ADDB04_.wvu.FilterData" localSheetId="0" hidden="1">'на 01.06.2016'!$A$9:$L$416</definedName>
    <definedName name="Z_762066AC_D656_4392_845D_8C6157B76764_.wvu.FilterData" localSheetId="0" hidden="1">'на 01.06.2016'!$A$9:$L$416</definedName>
    <definedName name="Z_77081AB2_288F_4D22_9FAD_2429DAF1E510_.wvu.FilterData" localSheetId="0" hidden="1">'на 01.06.2016'!$A$9:$S$1215</definedName>
    <definedName name="Z_799DB00F_141C_483B_A462_359C05A36D93_.wvu.FilterData" localSheetId="0" hidden="1">'на 01.06.2016'!$A$9:$L$416</definedName>
    <definedName name="Z_7A09065A_45D5_4C53_B9DD_121DF6719D64_.wvu.FilterData" localSheetId="0" hidden="1">'на 01.06.2016'!$A$9:$L$416</definedName>
    <definedName name="Z_7AE14342_BF53_4FA2_8C85_1038D8BA9596_.wvu.FilterData" localSheetId="0" hidden="1">'на 01.06.2016'!$A$9:$L$416</definedName>
    <definedName name="Z_7B245AB0_C2AF_4822_BFC4_2399F85856C1_.wvu.Cols" localSheetId="0" hidden="1">'на 01.06.2016'!$D:$F,'на 01.06.2016'!$Q:$R</definedName>
    <definedName name="Z_7B245AB0_C2AF_4822_BFC4_2399F85856C1_.wvu.FilterData" localSheetId="0" hidden="1">'на 01.06.2016'!$A$9:$S$1215</definedName>
    <definedName name="Z_7B245AB0_C2AF_4822_BFC4_2399F85856C1_.wvu.FilterData" localSheetId="1" hidden="1">перечень!$A$3:$D$30</definedName>
    <definedName name="Z_7B245AB0_C2AF_4822_BFC4_2399F85856C1_.wvu.PrintArea" localSheetId="0" hidden="1">'на 01.06.2016'!$A$1:$S$996</definedName>
    <definedName name="Z_7B245AB0_C2AF_4822_BFC4_2399F85856C1_.wvu.PrintArea" localSheetId="1" hidden="1">перечень!$A$1:$J$34</definedName>
    <definedName name="Z_7B245AB0_C2AF_4822_BFC4_2399F85856C1_.wvu.PrintTitles" localSheetId="0" hidden="1">'на 01.06.2016'!$7:$10</definedName>
    <definedName name="Z_7B245AB0_C2AF_4822_BFC4_2399F85856C1_.wvu.PrintTitles" localSheetId="1" hidden="1">перечень!$3:$3</definedName>
    <definedName name="Z_7BC27702_AD83_4B6E_860E_D694439F877D_.wvu.FilterData" localSheetId="0" hidden="1">'на 01.06.2016'!$A$9:$L$416</definedName>
    <definedName name="Z_7CB2D520_A8A5_4D6C_BE39_64C505DBAE2C_.wvu.FilterData" localSheetId="0" hidden="1">'на 01.06.2016'!$A$9:$S$1215</definedName>
    <definedName name="Z_7DB24378_D193_4D04_9739_831C8625EEAE_.wvu.FilterData" localSheetId="0" hidden="1">'на 01.06.2016'!$A$9:$S$404</definedName>
    <definedName name="Z_81403331_C5EB_4760_B273_D3D9C8D43951_.wvu.FilterData" localSheetId="0" hidden="1">'на 01.06.2016'!$A$9:$L$416</definedName>
    <definedName name="Z_8220CA38_66F1_4F9F_A7AE_CF3DF89B0B66_.wvu.FilterData" localSheetId="0" hidden="1">'на 01.06.2016'!$A$9:$S$1215</definedName>
    <definedName name="Z_8280D1E0_5055_49CD_A383_D6B2F2EBD512_.wvu.FilterData" localSheetId="0" hidden="1">'на 01.06.2016'!$A$9:$L$416</definedName>
    <definedName name="Z_8462E4B7_FF49_4401_9CB1_027D70C3D86B_.wvu.FilterData" localSheetId="0" hidden="1">'на 01.06.2016'!$A$9:$L$416</definedName>
    <definedName name="Z_8649CC96_F63A_4F83_8C89_AA8F47AC05F3_.wvu.FilterData" localSheetId="0" hidden="1">'на 01.06.2016'!$A$9:$L$416</definedName>
    <definedName name="Z_87AE545F_036F_4E8B_9D04_AE59AB8BAC14_.wvu.FilterData" localSheetId="0" hidden="1">'на 01.06.2016'!$A$9:$L$416</definedName>
    <definedName name="Z_8878B53B_0E8A_4A11_8A26_C2AC9BB8A4A9_.wvu.FilterData" localSheetId="0" hidden="1">'на 01.06.2016'!$A$9:$L$416</definedName>
    <definedName name="Z_8C654415_86D2_479D_A511_8A4B3774E375_.wvu.FilterData" localSheetId="0" hidden="1">'на 01.06.2016'!$A$9:$L$416</definedName>
    <definedName name="Z_8CAD663B_CD5E_4846_B4FD_69BCB6D1EB12_.wvu.FilterData" localSheetId="0" hidden="1">'на 01.06.2016'!$A$9:$L$416</definedName>
    <definedName name="Z_8CB267BE_E783_4914_8FFF_50D79F1D75CF_.wvu.FilterData" localSheetId="0" hidden="1">'на 01.06.2016'!$A$9:$L$416</definedName>
    <definedName name="Z_8D7BE686_9FAF_4C26_8FD5_5395E55E0797_.wvu.FilterData" localSheetId="0" hidden="1">'на 01.06.2016'!$A$9:$L$416</definedName>
    <definedName name="Z_8D8D2F4C_3B7E_4C1F_A367_4BA418733E1A_.wvu.FilterData" localSheetId="0" hidden="1">'на 01.06.2016'!$A$9:$L$416</definedName>
    <definedName name="Z_8E62A2BE_7CE7_496E_AC79_F133ABDC98BF_.wvu.FilterData" localSheetId="0" hidden="1">'на 01.06.2016'!$A$9:$L$416</definedName>
    <definedName name="Z_92A7494D_B642_4D2E_8A98_FA3ADD190BCE_.wvu.FilterData" localSheetId="0" hidden="1">'на 01.06.2016'!$A$9:$S$1215</definedName>
    <definedName name="Z_92E38377_38CC_496E_BBD8_5394F7550FE3_.wvu.FilterData" localSheetId="0" hidden="1">'на 01.06.2016'!$A$9:$S$1215</definedName>
    <definedName name="Z_93030161_EBD2_4C55_BB01_67290B2149A7_.wvu.FilterData" localSheetId="0" hidden="1">'на 01.06.2016'!$A$9:$S$1215</definedName>
    <definedName name="Z_935DFEC4_8817_4BB5_A846_9674D5A05EE9_.wvu.FilterData" localSheetId="0" hidden="1">'на 01.06.2016'!$A$9:$L$416</definedName>
    <definedName name="Z_94E3B816_367C_44F4_94FC_13D42F694C13_.wvu.FilterData" localSheetId="0" hidden="1">'на 01.06.2016'!$A$9:$S$1215</definedName>
    <definedName name="Z_95B5A563_A81C_425C_AC80_18232E0FA0F2_.wvu.FilterData" localSheetId="0" hidden="1">'на 01.06.2016'!$A$9:$L$416</definedName>
    <definedName name="Z_96167660_EA8B_4F7D_87A1_785E97B459B3_.wvu.FilterData" localSheetId="0" hidden="1">'на 01.06.2016'!$A$9:$L$416</definedName>
    <definedName name="Z_96879477_4713_4ABC_982A_7EB1C07B4DED_.wvu.FilterData" localSheetId="0" hidden="1">'на 01.06.2016'!$A$9:$L$416</definedName>
    <definedName name="Z_97B55429_A18E_43B5_9AF8_FE73FCDE4BBB_.wvu.FilterData" localSheetId="0" hidden="1">'на 01.06.2016'!$A$9:$S$1215</definedName>
    <definedName name="Z_97F74FDF_2C27_4D85_A3A7_1EF51A8A2DFF_.wvu.FilterData" localSheetId="0" hidden="1">'на 01.06.2016'!$A$9:$L$416</definedName>
    <definedName name="Z_987C1B6D_28A7_49CB_BBF0_6C3FFB9FC1C5_.wvu.FilterData" localSheetId="0" hidden="1">'на 01.06.2016'!$A$9:$S$1215</definedName>
    <definedName name="Z_998B8119_4FF3_4A16_838D_539C6AE34D55_.wvu.Cols" localSheetId="0" hidden="1">'на 01.06.2016'!$D:$F,'на 01.06.2016'!$Q:$R</definedName>
    <definedName name="Z_998B8119_4FF3_4A16_838D_539C6AE34D55_.wvu.FilterData" localSheetId="0" hidden="1">'на 01.06.2016'!$A$9:$S$1215</definedName>
    <definedName name="Z_998B8119_4FF3_4A16_838D_539C6AE34D55_.wvu.FilterData" localSheetId="1" hidden="1">перечень!$A$3:$D$30</definedName>
    <definedName name="Z_998B8119_4FF3_4A16_838D_539C6AE34D55_.wvu.PrintArea" localSheetId="0" hidden="1">'на 01.06.2016'!$A$1:$S$996</definedName>
    <definedName name="Z_998B8119_4FF3_4A16_838D_539C6AE34D55_.wvu.PrintArea" localSheetId="1" hidden="1">перечень!$A$1:$J$34</definedName>
    <definedName name="Z_998B8119_4FF3_4A16_838D_539C6AE34D55_.wvu.PrintTitles" localSheetId="0" hidden="1">'на 01.06.2016'!$7:$10</definedName>
    <definedName name="Z_998B8119_4FF3_4A16_838D_539C6AE34D55_.wvu.PrintTitles" localSheetId="1" hidden="1">перечень!$3:$3</definedName>
    <definedName name="Z_9A769443_7DFA_43D5_AB26_6F2EEF53DAF1_.wvu.FilterData" localSheetId="0" hidden="1">'на 01.06.2016'!$A$9:$L$416</definedName>
    <definedName name="Z_9C310551_EC8B_4B87_B5AF_39FC532C6FE3_.wvu.FilterData" localSheetId="0" hidden="1">'на 01.06.2016'!$A$9:$L$416</definedName>
    <definedName name="Z_9D24C81C_5B18_4B40_BF88_7236C9CAE366_.wvu.FilterData" localSheetId="0" hidden="1">'на 01.06.2016'!$A$9:$L$416</definedName>
    <definedName name="Z_9E943B7D_D4C7_443F_BC4C_8AB90546D8A5_.wvu.Cols" localSheetId="0" hidden="1">'на 01.06.2016'!#REF!,'на 01.06.2016'!$T:$U</definedName>
    <definedName name="Z_9E943B7D_D4C7_443F_BC4C_8AB90546D8A5_.wvu.FilterData" localSheetId="0" hidden="1">'на 01.06.2016'!$A$5:$S$404</definedName>
    <definedName name="Z_9E943B7D_D4C7_443F_BC4C_8AB90546D8A5_.wvu.PrintTitles" localSheetId="0" hidden="1">'на 01.06.2016'!$7:$10</definedName>
    <definedName name="Z_9E943B7D_D4C7_443F_BC4C_8AB90546D8A5_.wvu.Rows" localSheetId="0" hidden="1">'на 01.06.2016'!#REF!,'на 01.06.2016'!$273:$284,'на 01.06.2016'!#REF!,'на 01.06.2016'!#REF!,'на 01.06.2016'!#REF!,'на 01.06.2016'!#REF!,'на 01.06.2016'!#REF!,'на 01.06.2016'!#REF!,'на 01.06.2016'!#REF!,'на 01.06.2016'!#REF!,'на 01.06.2016'!#REF!,'на 01.06.2016'!#REF!,'на 01.06.2016'!#REF!,'на 01.06.2016'!#REF!,'на 01.06.2016'!#REF!,'на 01.06.2016'!#REF!,'на 01.06.2016'!#REF!,'на 01.06.2016'!#REF!,'на 01.06.2016'!#REF!,'на 01.06.2016'!#REF!</definedName>
    <definedName name="Z_9EC99D85_9CBB_4D41_A0AC_5A782960B43C_.wvu.FilterData" localSheetId="0" hidden="1">'на 01.06.2016'!$A$9:$L$416</definedName>
    <definedName name="Z_A0A3CD9B_2436_40D7_91DB_589A95FBBF00_.wvu.Cols" localSheetId="0" hidden="1">'на 01.06.2016'!$D:$F,'на 01.06.2016'!$Q:$R</definedName>
    <definedName name="Z_A0A3CD9B_2436_40D7_91DB_589A95FBBF00_.wvu.FilterData" localSheetId="0" hidden="1">'на 01.06.2016'!$A$9:$S$1215</definedName>
    <definedName name="Z_A0A3CD9B_2436_40D7_91DB_589A95FBBF00_.wvu.FilterData" localSheetId="1" hidden="1">перечень!$A$3:$D$30</definedName>
    <definedName name="Z_A0A3CD9B_2436_40D7_91DB_589A95FBBF00_.wvu.PrintArea" localSheetId="0" hidden="1">'на 01.06.2016'!$A$1:$S$1017</definedName>
    <definedName name="Z_A0A3CD9B_2436_40D7_91DB_589A95FBBF00_.wvu.PrintArea" localSheetId="1" hidden="1">перечень!$A$1:$J$34</definedName>
    <definedName name="Z_A0A3CD9B_2436_40D7_91DB_589A95FBBF00_.wvu.PrintTitles" localSheetId="0" hidden="1">'на 01.06.2016'!$7:$10</definedName>
    <definedName name="Z_A0A3CD9B_2436_40D7_91DB_589A95FBBF00_.wvu.PrintTitles" localSheetId="1" hidden="1">перечень!$3:$3</definedName>
    <definedName name="Z_A0A3CD9B_2436_40D7_91DB_589A95FBBF00_.wvu.Rows" localSheetId="0" hidden="1">'на 01.06.2016'!$118:$118,'на 01.06.2016'!$236:$236,'на 01.06.2016'!$662:$662,'на 01.06.2016'!$668:$668,'на 01.06.2016'!$680:$680</definedName>
    <definedName name="Z_A0EB0A04_1124_498B_8C4B_C1E25B53C1A8_.wvu.FilterData" localSheetId="0" hidden="1">'на 01.06.2016'!$A$9:$L$416</definedName>
    <definedName name="Z_A2611F3A_C06C_4662_B39E_6F08BA7C9B14_.wvu.FilterData" localSheetId="0" hidden="1">'на 01.06.2016'!$A$9:$L$416</definedName>
    <definedName name="Z_A28DA500_33FC_4913_B21A_3E2D7ED7A130_.wvu.FilterData" localSheetId="0" hidden="1">'на 01.06.2016'!$A$9:$L$416</definedName>
    <definedName name="Z_A62258B9_7768_4C4F_AFFC_537782E81CFF_.wvu.FilterData" localSheetId="0" hidden="1">'на 01.06.2016'!$A$9:$L$416</definedName>
    <definedName name="Z_A65D4FF6_26A1_47FE_AF98_41E05002FB1E_.wvu.FilterData" localSheetId="0" hidden="1">'на 01.06.2016'!$A$9:$L$416</definedName>
    <definedName name="Z_A6B98527_7CBF_4E4D_BDEA_9334A3EB779F_.wvu.Cols" localSheetId="0" hidden="1">'на 01.06.2016'!$D:$F,'на 01.06.2016'!$Q:$R,'на 01.06.2016'!$T:$CE</definedName>
    <definedName name="Z_A6B98527_7CBF_4E4D_BDEA_9334A3EB779F_.wvu.FilterData" localSheetId="0" hidden="1">'на 01.06.2016'!$A$9:$S$1215</definedName>
    <definedName name="Z_A6B98527_7CBF_4E4D_BDEA_9334A3EB779F_.wvu.FilterData" localSheetId="1" hidden="1">перечень!$A$3:$D$30</definedName>
    <definedName name="Z_A6B98527_7CBF_4E4D_BDEA_9334A3EB779F_.wvu.PrintArea" localSheetId="0" hidden="1">'на 01.06.2016'!$A$1:$CE$996</definedName>
    <definedName name="Z_A6B98527_7CBF_4E4D_BDEA_9334A3EB779F_.wvu.PrintArea" localSheetId="1" hidden="1">перечень!$A$1:$J$34</definedName>
    <definedName name="Z_A6B98527_7CBF_4E4D_BDEA_9334A3EB779F_.wvu.PrintTitles" localSheetId="0" hidden="1">'на 01.06.2016'!$7:$9</definedName>
    <definedName name="Z_A6B98527_7CBF_4E4D_BDEA_9334A3EB779F_.wvu.PrintTitles" localSheetId="1" hidden="1">перечень!$3:$3</definedName>
    <definedName name="Z_A98C96B5_CE3A_4FF9_B3E5_0DBB66ADC5BB_.wvu.FilterData" localSheetId="0" hidden="1">'на 01.06.2016'!$A$9:$L$416</definedName>
    <definedName name="Z_A9BB2943_E4B1_4809_A926_69F8C50E1CF2_.wvu.FilterData" localSheetId="0" hidden="1">'на 01.06.2016'!$A$9:$S$1215</definedName>
    <definedName name="Z_AA4C7BF5_07E0_4095_B165_D2AF600190FA_.wvu.FilterData" localSheetId="0" hidden="1">'на 01.06.2016'!$A$9:$L$416</definedName>
    <definedName name="Z_AAC4B5AB_1913_4D9C_A1FF_BD9345E009EB_.wvu.FilterData" localSheetId="0" hidden="1">'на 01.06.2016'!$A$9:$L$416</definedName>
    <definedName name="Z_AF01D870_77CB_46A2_A95B_3A27FF42EAA8_.wvu.FilterData" localSheetId="0" hidden="1">'на 01.06.2016'!$A$9:$L$416</definedName>
    <definedName name="Z_AF1AEFF5_9892_4FCB_BD3E_6CF1CEE1B71B_.wvu.FilterData" localSheetId="0" hidden="1">'на 01.06.2016'!$A$9:$S$1215</definedName>
    <definedName name="Z_AFC26506_1EE1_430F_B247_3257CE41958A_.wvu.FilterData" localSheetId="0" hidden="1">'на 01.06.2016'!$A$9:$S$1215</definedName>
    <definedName name="Z_B180D137_9F25_4AD4_9057_37928F1867A8_.wvu.FilterData" localSheetId="0" hidden="1">'на 01.06.2016'!$A$9:$L$416</definedName>
    <definedName name="Z_B246A3A0_6AE0_4610_AE7A_F7490C26DBCA_.wvu.FilterData" localSheetId="0" hidden="1">'на 01.06.2016'!$A$9:$S$1215</definedName>
    <definedName name="Z_B2D38EAC_E767_43A7_B7A2_621639FE347D_.wvu.FilterData" localSheetId="0" hidden="1">'на 01.06.2016'!$A$9:$L$416</definedName>
    <definedName name="Z_B3339176_D3D0_4D7A_8AAB_C0B71F942A93_.wvu.FilterData" localSheetId="0" hidden="1">'на 01.06.2016'!$A$9:$L$416</definedName>
    <definedName name="Z_B45FAC42_679D_43AB_B511_9E5492CAC2DB_.wvu.FilterData" localSheetId="0" hidden="1">'на 01.06.2016'!$A$9:$L$416</definedName>
    <definedName name="Z_B499C08D_A2E7_417F_A9B7_BFCE2B66534F_.wvu.FilterData" localSheetId="0" hidden="1">'на 01.06.2016'!$A$9:$S$1215</definedName>
    <definedName name="Z_B5533D56_E1AE_4DE7_8436_EF9CA55A4943_.wvu.FilterData" localSheetId="0" hidden="1">'на 01.06.2016'!$A$9:$S$1215</definedName>
    <definedName name="Z_B56BEF44_39DC_4F5B_A5E5_157C237832AF_.wvu.FilterData" localSheetId="0" hidden="1">'на 01.06.2016'!$A$9:$L$416</definedName>
    <definedName name="Z_B603D180_E09A_4B9C_810F_9423EBA4A0EA_.wvu.FilterData" localSheetId="0" hidden="1">'на 01.06.2016'!$A$9:$S$1215</definedName>
    <definedName name="Z_B7A4DC29_6CA3_48BD_BD2B_5EA61D250392_.wvu.FilterData" localSheetId="0" hidden="1">'на 01.06.2016'!$A$9:$L$416</definedName>
    <definedName name="Z_B7F67755_3086_43A6_86E7_370F80E61BD0_.wvu.FilterData" localSheetId="0" hidden="1">'на 01.06.2016'!$A$9:$L$416</definedName>
    <definedName name="Z_BAB4825B_2E54_4A6C_A72D_1F8E7B4FEFFB_.wvu.FilterData" localSheetId="0" hidden="1">'на 01.06.2016'!$A$9:$S$1215</definedName>
    <definedName name="Z_BC09D690_D177_4FC8_AE1F_8F0F0D5C6ECD_.wvu.FilterData" localSheetId="0" hidden="1">'на 01.06.2016'!$A$9:$S$1215</definedName>
    <definedName name="Z_BE442298_736F_47F5_9592_76FFCCDA59DB_.wvu.FilterData" localSheetId="0" hidden="1">'на 01.06.2016'!$A$9:$L$416</definedName>
    <definedName name="Z_BE97AC31_BFEB_4520_BC44_68B0C987C70A_.wvu.FilterData" localSheetId="0" hidden="1">'на 01.06.2016'!$A$9:$S$1215</definedName>
    <definedName name="Z_BEA0FDBA_BB07_4C19_8BBD_5E57EE395C09_.wvu.Cols" localSheetId="0" hidden="1">'на 01.06.2016'!$D:$F,'на 01.06.2016'!$Q:$R</definedName>
    <definedName name="Z_BEA0FDBA_BB07_4C19_8BBD_5E57EE395C09_.wvu.FilterData" localSheetId="0" hidden="1">'на 01.06.2016'!$A$9:$S$1215</definedName>
    <definedName name="Z_BEA0FDBA_BB07_4C19_8BBD_5E57EE395C09_.wvu.FilterData" localSheetId="1" hidden="1">перечень!$A$3:$D$30</definedName>
    <definedName name="Z_BEA0FDBA_BB07_4C19_8BBD_5E57EE395C09_.wvu.PrintArea" localSheetId="0" hidden="1">'на 01.06.2016'!$A$1:$S$996</definedName>
    <definedName name="Z_BEA0FDBA_BB07_4C19_8BBD_5E57EE395C09_.wvu.PrintArea" localSheetId="1" hidden="1">перечень!$A$1:$J$34</definedName>
    <definedName name="Z_BEA0FDBA_BB07_4C19_8BBD_5E57EE395C09_.wvu.PrintTitles" localSheetId="0" hidden="1">'на 01.06.2016'!$7:$10</definedName>
    <definedName name="Z_BEA0FDBA_BB07_4C19_8BBD_5E57EE395C09_.wvu.PrintTitles" localSheetId="1" hidden="1">перечень!$3:$3</definedName>
    <definedName name="Z_BF65F093_304D_44F0_BF26_E5F8F9093CF5_.wvu.FilterData" localSheetId="0" hidden="1">'на 01.06.2016'!$A$9:$S$404</definedName>
    <definedName name="Z_C2E7FF11_4F7B_4EA9_AD45_A8385AC4BC24_.wvu.FilterData" localSheetId="0" hidden="1">'на 01.06.2016'!$A$9:$L$416</definedName>
    <definedName name="Z_C3E7B974_7E68_49C9_8A66_DEBBC3D71CB8_.wvu.FilterData" localSheetId="0" hidden="1">'на 01.06.2016'!$A$9:$L$416</definedName>
    <definedName name="Z_C47D5376_4107_461D_B353_0F0CCA5A27B8_.wvu.FilterData" localSheetId="0" hidden="1">'на 01.06.2016'!$A$9:$L$416</definedName>
    <definedName name="Z_C55D9313_9108_41CA_AD0E_FE2F7292C638_.wvu.FilterData" localSheetId="0" hidden="1">'на 01.06.2016'!$A$9:$L$416</definedName>
    <definedName name="Z_C5D84F85_3611_4C2A_903D_ECFF3A3DA3D9_.wvu.FilterData" localSheetId="0" hidden="1">'на 01.06.2016'!$A$9:$L$416</definedName>
    <definedName name="Z_C70C85CF_5ADB_4631_87C7_BA23E9BE3196_.wvu.FilterData" localSheetId="0" hidden="1">'на 01.06.2016'!$A$9:$S$1215</definedName>
    <definedName name="Z_C74598AC_1D4B_466D_8455_294C1A2E69BB_.wvu.FilterData" localSheetId="0" hidden="1">'на 01.06.2016'!$A$9:$L$416</definedName>
    <definedName name="Z_C8C7D91A_0101_429D_A7C4_25C2A366909A_.wvu.Cols" localSheetId="0" hidden="1">'на 01.06.2016'!$O:$O,'на 01.06.2016'!#REF!</definedName>
    <definedName name="Z_C8C7D91A_0101_429D_A7C4_25C2A366909A_.wvu.FilterData" localSheetId="0" hidden="1">'на 01.06.2016'!$A$9:$S$404</definedName>
    <definedName name="Z_C8C7D91A_0101_429D_A7C4_25C2A366909A_.wvu.Rows" localSheetId="0" hidden="1">'на 01.06.2016'!$273:$284,'на 01.06.2016'!#REF!,'на 01.06.2016'!#REF!,'на 01.06.2016'!#REF!,'на 01.06.2016'!#REF!,'на 01.06.2016'!#REF!,'на 01.06.2016'!#REF!,'на 01.06.2016'!#REF!,'на 01.06.2016'!#REF!,'на 01.06.2016'!#REF!</definedName>
    <definedName name="Z_C98B4A4E_FC1F_45B3_ABB0_7DC9BD4B8057_.wvu.FilterData" localSheetId="0" hidden="1">'на 01.06.2016'!$A$9:$L$416</definedName>
    <definedName name="Z_CAAD7F8A_A328_4C0A_9ECF_2AD83A08D699_.wvu.FilterData" localSheetId="0" hidden="1">'на 01.06.2016'!$A$9:$L$416</definedName>
    <definedName name="Z_CB1A56DC_A135_41E6_8A02_AE4E518C879F_.wvu.FilterData" localSheetId="0" hidden="1">'на 01.06.2016'!$A$9:$S$1215</definedName>
    <definedName name="Z_CB1A56DC_A135_41E6_8A02_AE4E518C879F_.wvu.FilterData" localSheetId="1" hidden="1">перечень!$A$3:$D$30</definedName>
    <definedName name="Z_CB1A56DC_A135_41E6_8A02_AE4E518C879F_.wvu.PrintArea" localSheetId="1" hidden="1">перечень!$A$1:$J$34</definedName>
    <definedName name="Z_CB1A56DC_A135_41E6_8A02_AE4E518C879F_.wvu.PrintTitles" localSheetId="1" hidden="1">перечень!$3:$3</definedName>
    <definedName name="Z_CB4880DD_CE83_4DFC_BBA7_70687256D5A4_.wvu.FilterData" localSheetId="0" hidden="1">'на 01.06.2016'!$A$9:$L$416</definedName>
    <definedName name="Z_CBDBA949_FA00_4560_8001_BD00E63FCCA4_.wvu.FilterData" localSheetId="0" hidden="1">'на 01.06.2016'!$A$9:$S$1215</definedName>
    <definedName name="Z_CBF12BD1_A071_4448_8003_32E74F40E3E3_.wvu.FilterData" localSheetId="0" hidden="1">'на 01.06.2016'!$A$9:$L$416</definedName>
    <definedName name="Z_CBF9D894_3FD2_4B68_BAC8_643DB23851C0_.wvu.FilterData" localSheetId="0" hidden="1">'на 01.06.2016'!$A$9:$L$416</definedName>
    <definedName name="Z_CBF9D894_3FD2_4B68_BAC8_643DB23851C0_.wvu.Rows" localSheetId="0" hidden="1">'на 01.06.2016'!$273:$284,'на 01.06.2016'!#REF!,'на 01.06.2016'!#REF!,'на 01.06.2016'!#REF!</definedName>
    <definedName name="Z_CCC17219_B1A3_4C6B_B903_0E4550432FD0_.wvu.FilterData" localSheetId="0" hidden="1">'на 01.06.2016'!$A$9:$L$416</definedName>
    <definedName name="Z_D20DFCFE_63F9_4265_B37B_4F36C46DF159_.wvu.Cols" localSheetId="0" hidden="1">'на 01.06.2016'!$D:$F,'на 01.06.2016'!$Q:$R</definedName>
    <definedName name="Z_D20DFCFE_63F9_4265_B37B_4F36C46DF159_.wvu.FilterData" localSheetId="0" hidden="1">'на 01.06.2016'!$A$9:$S$1215</definedName>
    <definedName name="Z_D20DFCFE_63F9_4265_B37B_4F36C46DF159_.wvu.FilterData" localSheetId="1" hidden="1">перечень!$A$3:$D$30</definedName>
    <definedName name="Z_D20DFCFE_63F9_4265_B37B_4F36C46DF159_.wvu.PrintArea" localSheetId="0" hidden="1">'на 01.06.2016'!$A$1:$S$996</definedName>
    <definedName name="Z_D20DFCFE_63F9_4265_B37B_4F36C46DF159_.wvu.PrintArea" localSheetId="1" hidden="1">перечень!$A$1:$J$34</definedName>
    <definedName name="Z_D20DFCFE_63F9_4265_B37B_4F36C46DF159_.wvu.PrintTitles" localSheetId="0" hidden="1">'на 01.06.2016'!$7:$10</definedName>
    <definedName name="Z_D20DFCFE_63F9_4265_B37B_4F36C46DF159_.wvu.PrintTitles" localSheetId="1" hidden="1">перечень!$3:$3</definedName>
    <definedName name="Z_D20DFCFE_63F9_4265_B37B_4F36C46DF159_.wvu.Rows" localSheetId="0" hidden="1">'на 01.06.2016'!$118:$118,'на 01.06.2016'!$236:$236,'на 01.06.2016'!$662:$662,'на 01.06.2016'!$668:$668,'на 01.06.2016'!$680:$680</definedName>
    <definedName name="Z_D26EAC32_42CC_46AF_8D27_8094727B2B8E_.wvu.FilterData" localSheetId="0" hidden="1">'на 01.06.2016'!$A$9:$S$1215</definedName>
    <definedName name="Z_D298563F_7459_410D_A6E1_6B1CDFA6DAA7_.wvu.FilterData" localSheetId="0" hidden="1">'на 01.06.2016'!$A$9:$S$1215</definedName>
    <definedName name="Z_D343F548_3DE6_4716_9B8B_0FF1DF1B1DE3_.wvu.FilterData" localSheetId="0" hidden="1">'на 01.06.2016'!$A$9:$L$416</definedName>
    <definedName name="Z_D3607008_88A4_4735_BF9B_0D60A732D98C_.wvu.FilterData" localSheetId="0" hidden="1">'на 01.06.2016'!$A$9:$S$1215</definedName>
    <definedName name="Z_D3C3EFC2_493C_4B9B_BC16_8147B08F8F65_.wvu.FilterData" localSheetId="0" hidden="1">'на 01.06.2016'!$A$9:$L$416</definedName>
    <definedName name="Z_D3E86F4B_12A8_47CC_AEBE_74534991E315_.wvu.FilterData" localSheetId="0" hidden="1">'на 01.06.2016'!$A$9:$S$1215</definedName>
    <definedName name="Z_D3F31BC4_4CDA_431B_BA5F_ADE76A923760_.wvu.FilterData" localSheetId="0" hidden="1">'на 01.06.2016'!$A$9:$L$416</definedName>
    <definedName name="Z_D45ABB34_16CC_462D_8459_2034D47F465D_.wvu.FilterData" localSheetId="0" hidden="1">'на 01.06.2016'!$A$9:$L$416</definedName>
    <definedName name="Z_D479007E_A9E8_4307_A3E8_18A2BB5C55F2_.wvu.FilterData" localSheetId="0" hidden="1">'на 01.06.2016'!$A$9:$S$1215</definedName>
    <definedName name="Z_D48CEF89_B01B_4E1D_92B4_235EA4A40F11_.wvu.FilterData" localSheetId="0" hidden="1">'на 01.06.2016'!$A$9:$S$1215</definedName>
    <definedName name="Z_D4B24D18_8D1D_47A1_AE9B_21E3F9EF98EE_.wvu.FilterData" localSheetId="0" hidden="1">'на 01.06.2016'!$A$9:$S$1215</definedName>
    <definedName name="Z_D4E20E73_FD07_4BE4_B8FA_FE6B214643C4_.wvu.FilterData" localSheetId="0" hidden="1">'на 01.06.2016'!$A$9:$S$1215</definedName>
    <definedName name="Z_D5317C3A_3EDA_404B_818D_EAF558810951_.wvu.FilterData" localSheetId="0" hidden="1">'на 01.06.2016'!$A$9:$L$416</definedName>
    <definedName name="Z_D537FB3B_712D_486A_BA32_4F73BEB2AA19_.wvu.FilterData" localSheetId="0" hidden="1">'на 01.06.2016'!$A$9:$L$416</definedName>
    <definedName name="Z_D6730C21_0555_4F4D_B589_9DE5CFF9C442_.wvu.FilterData" localSheetId="0" hidden="1">'на 01.06.2016'!$A$9:$L$416</definedName>
    <definedName name="Z_D7BC8E82_4392_4806_9DAE_D94253790B9C_.wvu.Cols" localSheetId="0" hidden="1">'на 01.06.2016'!$D:$F,'на 01.06.2016'!$Q:$R,'на 01.06.2016'!$T:$CE</definedName>
    <definedName name="Z_D7BC8E82_4392_4806_9DAE_D94253790B9C_.wvu.FilterData" localSheetId="0" hidden="1">'на 01.06.2016'!$A$9:$S$1215</definedName>
    <definedName name="Z_D7BC8E82_4392_4806_9DAE_D94253790B9C_.wvu.FilterData" localSheetId="1" hidden="1">перечень!$A$3:$D$30</definedName>
    <definedName name="Z_D7BC8E82_4392_4806_9DAE_D94253790B9C_.wvu.PrintArea" localSheetId="0" hidden="1">'на 01.06.2016'!$A$1:$CE$996</definedName>
    <definedName name="Z_D7BC8E82_4392_4806_9DAE_D94253790B9C_.wvu.PrintArea" localSheetId="1" hidden="1">перечень!$A$1:$J$34</definedName>
    <definedName name="Z_D7BC8E82_4392_4806_9DAE_D94253790B9C_.wvu.PrintTitles" localSheetId="0" hidden="1">'на 01.06.2016'!$7:$9</definedName>
    <definedName name="Z_D7BC8E82_4392_4806_9DAE_D94253790B9C_.wvu.PrintTitles" localSheetId="1" hidden="1">перечень!$3:$3</definedName>
    <definedName name="Z_D8418465_ECB6_40A4_8538_9D6D02B4E5CE_.wvu.FilterData" localSheetId="0" hidden="1">'на 01.06.2016'!$A$9:$L$416</definedName>
    <definedName name="Z_D8836A46_4276_4875_86A1_BB0E2B53006C_.wvu.FilterData" localSheetId="0" hidden="1">'на 01.06.2016'!$A$9:$L$416</definedName>
    <definedName name="Z_D8EBE17E_7A1A_4392_901C_A4C8DD4BAF28_.wvu.FilterData" localSheetId="0" hidden="1">'на 01.06.2016'!$A$9:$L$416</definedName>
    <definedName name="Z_D97BC9A1_860C_45CB_8FAD_B69CEE39193C_.wvu.FilterData" localSheetId="0" hidden="1">'на 01.06.2016'!$A$9:$L$416</definedName>
    <definedName name="Z_DA3033F1_502F_4BCA_B468_CBA3E20E7254_.wvu.FilterData" localSheetId="0" hidden="1">'на 01.06.2016'!$A$9:$S$1215</definedName>
    <definedName name="Z_DA5DFA2D_C1AA_42F5_8828_D1905F1C9BD0_.wvu.FilterData" localSheetId="0" hidden="1">'на 01.06.2016'!$A$9:$S$1215</definedName>
    <definedName name="Z_DBB88EE7_5C30_443C_A427_07BA2C7C58DA_.wvu.FilterData" localSheetId="0" hidden="1">'на 01.06.2016'!$A$9:$S$1215</definedName>
    <definedName name="Z_DBF40914_927D_466F_8B6B_F333D1AFC9B0_.wvu.FilterData" localSheetId="0" hidden="1">'на 01.06.2016'!$A$9:$S$1215</definedName>
    <definedName name="Z_DC263B7F_7E05_4E66_AE9F_05D6DDE635B1_.wvu.FilterData" localSheetId="0" hidden="1">'на 01.06.2016'!$A$9:$L$416</definedName>
    <definedName name="Z_DC796824_ECED_4590_A3E8_8D5A3534C637_.wvu.FilterData" localSheetId="0" hidden="1">'на 01.06.2016'!$A$9:$L$416</definedName>
    <definedName name="Z_DCC1B134_1BA2_418E_B1D0_0938D8743370_.wvu.FilterData" localSheetId="0" hidden="1">'на 01.06.2016'!$A$9:$L$416</definedName>
    <definedName name="Z_DDA68DE5_EF86_4A52_97CD_589088C5FE7A_.wvu.FilterData" localSheetId="0" hidden="1">'на 01.06.2016'!$A$9:$L$416</definedName>
    <definedName name="Z_DE2C3999_6F3E_4D24_86CF_8803BF5FAA48_.wvu.FilterData" localSheetId="0" hidden="1">'на 01.06.2016'!$A$9:$S$404</definedName>
    <definedName name="Z_DEA6EDB2_F27D_4C8F_B061_FD80BEC5543F_.wvu.FilterData" localSheetId="0" hidden="1">'на 01.06.2016'!$A$9:$L$416</definedName>
    <definedName name="Z_DECE3245_1BE4_4A3F_B644_E8DE80612C1E_.wvu.FilterData" localSheetId="0" hidden="1">'на 01.06.2016'!$A$9:$S$1215</definedName>
    <definedName name="Z_DF6B7D46_D8DB_447A_83A4_53EE18358CF2_.wvu.FilterData" localSheetId="0" hidden="1">'на 01.06.2016'!$A$9:$S$1215</definedName>
    <definedName name="Z_DFB08918_D5A4_4224_AEA5_63620C0D53DD_.wvu.FilterData" localSheetId="0" hidden="1">'на 01.06.2016'!$A$9:$S$1215</definedName>
    <definedName name="Z_E0B34E03_0754_4713_9A98_5ACEE69C9E71_.wvu.FilterData" localSheetId="0" hidden="1">'на 01.06.2016'!$A$9:$L$416</definedName>
    <definedName name="Z_E1E7843B_3EC3_4FFF_9B1C_53E7DE6A4004_.wvu.FilterData" localSheetId="0" hidden="1">'на 01.06.2016'!$A$9:$L$416</definedName>
    <definedName name="Z_E25FE844_1AD8_4E16_B2DB_9033A702F13A_.wvu.FilterData" localSheetId="0" hidden="1">'на 01.06.2016'!$A$9:$L$416</definedName>
    <definedName name="Z_E2861A4E_263A_4BE6_9223_2DA352B0AD2D_.wvu.FilterData" localSheetId="0" hidden="1">'на 01.06.2016'!$A$9:$L$416</definedName>
    <definedName name="Z_E2FB76DF_1C94_4620_8087_FEE12FDAA3D2_.wvu.FilterData" localSheetId="0" hidden="1">'на 01.06.2016'!$A$9:$L$416</definedName>
    <definedName name="Z_E3C6ECC1_0F12_435D_9B36_B23F6133337F_.wvu.FilterData" localSheetId="0" hidden="1">'на 01.06.2016'!$A$9:$L$416</definedName>
    <definedName name="Z_E437F2F2_3B79_49F0_9901_D31498A163D7_.wvu.FilterData" localSheetId="0" hidden="1">'на 01.06.2016'!$A$9:$S$1215</definedName>
    <definedName name="Z_E5EC7523_F88D_4AD4_9A8D_84C16AB7BFC1_.wvu.FilterData" localSheetId="0" hidden="1">'на 01.06.2016'!$A$9:$S$1215</definedName>
    <definedName name="Z_E88E1D11_18C0_4724_9D4F_2C85DDF57564_.wvu.FilterData" localSheetId="0" hidden="1">'на 01.06.2016'!$A$9:$L$416</definedName>
    <definedName name="Z_EA234825_5817_4C50_AC45_83D70F061045_.wvu.FilterData" localSheetId="0" hidden="1">'на 01.06.2016'!$A$9:$S$1215</definedName>
    <definedName name="Z_EA769D6D_3269_481D_9974_BC10C6C55FF6_.wvu.FilterData" localSheetId="0" hidden="1">'на 01.06.2016'!$A$9:$L$416</definedName>
    <definedName name="Z_EBCDBD63_50FE_4D52_B280_2A723FA77236_.wvu.FilterData" localSheetId="0" hidden="1">'на 01.06.2016'!$A$9:$L$416</definedName>
    <definedName name="Z_EC6B58CC_C695_4EAF_B026_DA7CE6279D7A_.wvu.FilterData" localSheetId="0" hidden="1">'на 01.06.2016'!$A$9:$S$1215</definedName>
    <definedName name="Z_ED74FBD3_DF35_4798_8C2A_7ADA46D140AA_.wvu.FilterData" localSheetId="0" hidden="1">'на 01.06.2016'!$A$9:$L$416</definedName>
    <definedName name="Z_EFFADE78_6F23_4B5D_AE74_3E82BA29B398_.wvu.FilterData" localSheetId="0" hidden="1">'на 01.06.2016'!$A$9:$L$416</definedName>
    <definedName name="Z_F140A98E_30AA_4FD0_8B93_08F8951EDE5E_.wvu.FilterData" localSheetId="0" hidden="1">'на 01.06.2016'!$A$9:$L$416</definedName>
    <definedName name="Z_F2110B0B_AAE7_42F0_B553_C360E9249AD4_.wvu.Cols" localSheetId="0" hidden="1">'на 01.06.2016'!$D:$F,'на 01.06.2016'!$Q:$R,'на 01.06.2016'!$T:$CE</definedName>
    <definedName name="Z_F2110B0B_AAE7_42F0_B553_C360E9249AD4_.wvu.FilterData" localSheetId="0" hidden="1">'на 01.06.2016'!$A$9:$S$1215</definedName>
    <definedName name="Z_F2110B0B_AAE7_42F0_B553_C360E9249AD4_.wvu.FilterData" localSheetId="1" hidden="1">перечень!$A$3:$D$30</definedName>
    <definedName name="Z_F2110B0B_AAE7_42F0_B553_C360E9249AD4_.wvu.PrintArea" localSheetId="0" hidden="1">'на 01.06.2016'!$A$1:$CE$996</definedName>
    <definedName name="Z_F2110B0B_AAE7_42F0_B553_C360E9249AD4_.wvu.PrintArea" localSheetId="1" hidden="1">перечень!$A$1:$J$34</definedName>
    <definedName name="Z_F2110B0B_AAE7_42F0_B553_C360E9249AD4_.wvu.PrintTitles" localSheetId="0" hidden="1">'на 01.06.2016'!$7:$9</definedName>
    <definedName name="Z_F2110B0B_AAE7_42F0_B553_C360E9249AD4_.wvu.PrintTitles" localSheetId="1" hidden="1">перечень!$3:$3</definedName>
    <definedName name="Z_F34EC6B1_390D_4B75_852C_F8775ACC3B29_.wvu.FilterData" localSheetId="0" hidden="1">'на 01.06.2016'!$A$9:$S$1215</definedName>
    <definedName name="Z_F8CD48ED_A67F_492E_A417_09D352E93E12_.wvu.FilterData" localSheetId="0" hidden="1">'на 01.06.2016'!$A$9:$L$416</definedName>
    <definedName name="Z_F8E4304E_2CC4_4F73_A08A_BA6FE8EB77EF_.wvu.FilterData" localSheetId="0" hidden="1">'на 01.06.2016'!$A$9:$S$1215</definedName>
    <definedName name="Z_F9F96D65_7E5D_4EDB_B47B_CD800EE8793F_.wvu.FilterData" localSheetId="0" hidden="1">'на 01.06.2016'!$A$9:$L$416</definedName>
    <definedName name="Z_FA47CA05_CCF1_4EDC_AAF6_26967695B1D8_.wvu.FilterData" localSheetId="0" hidden="1">'на 01.06.2016'!$A$9:$S$1215</definedName>
    <definedName name="Z_FAEA1540_FB92_4A7F_8E18_381E2C6FAF74_.wvu.FilterData" localSheetId="0" hidden="1">'на 01.06.2016'!$A$9:$L$416</definedName>
    <definedName name="Z_FBEEEF36_B47B_4551_8D8A_904E9E1222D4_.wvu.FilterData" localSheetId="0" hidden="1">'на 01.06.2016'!$A$9:$L$416</definedName>
    <definedName name="Z_FD0E1B66_1ED2_4768_AEAA_4813773FCD1B_.wvu.FilterData" localSheetId="0" hidden="1">'на 01.06.2016'!$A$9:$L$416</definedName>
    <definedName name="Z_FD5CEF9A_4499_4018_A32D_B5C5AF11D935_.wvu.FilterData" localSheetId="0" hidden="1">'на 01.06.2016'!$A$9:$S$1215</definedName>
    <definedName name="Z_FF7CC20D_CA9E_46D2_A113_9EB09E8A7DF6_.wvu.FilterData" localSheetId="0" hidden="1">'на 01.06.2016'!$A$9:$L$416</definedName>
    <definedName name="_xlnm.Print_Titles" localSheetId="0">'на 01.06.2016'!$7:$10</definedName>
    <definedName name="_xlnm.Print_Titles" localSheetId="1">перечень!$3:$3</definedName>
    <definedName name="_xlnm.Print_Area" localSheetId="0">'на 01.06.2016'!$A$1:$S$1008</definedName>
    <definedName name="_xlnm.Print_Area" localSheetId="1">перечень!$A$1:$J$34</definedName>
  </definedNames>
  <calcPr calcId="162913" fullPrecision="0"/>
  <customWorkbookViews>
    <customWorkbookView name="kou - Личное представление" guid="{998B8119-4FF3-4A16-838D-539C6AE34D55}" mergeInterval="0" personalView="1" maximized="1" windowWidth="1148" windowHeight="645" tabRatio="518" activeSheetId="1"/>
    <customWorkbookView name="Литвинчук Екатерина Николаевна - Личное представление" guid="{5FB953A5-71FF-4056-AF98-C9D06FF0EDF3}" mergeInterval="0" personalView="1" maximized="1" windowWidth="1276" windowHeight="799" tabRatio="518" activeSheetId="1"/>
    <customWorkbookView name="Рогожина Ольга Сергеевна - Личное представление" guid="{BEA0FDBA-BB07-4C19-8BBD-5E57EE395C09}" mergeInterval="0" personalView="1" maximized="1" windowWidth="1276" windowHeight="743" tabRatio="518" activeSheetId="1"/>
    <customWorkbookView name="Минакова Оксана Сергеевна - Личное представление" guid="{45DE1976-7F07-4EB4-8A9C-FB72D060BEFA}" mergeInterval="0" personalView="1" xWindow="10" yWindow="44" windowWidth="1260" windowHeight="719" tabRatio="518" activeSheetId="1"/>
    <customWorkbookView name="kaa - Личное представление" guid="{7B245AB0-C2AF-4822-BFC4-2399F85856C1}" mergeInterval="0" personalView="1" maximized="1" xWindow="1" yWindow="1" windowWidth="1280" windowHeight="803"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Вершинина Мария Игоревна - Личное представление" guid="{A0A3CD9B-2436-40D7-91DB-589A95FBBF00}" mergeInterval="0" personalView="1" maximized="1" windowWidth="1276" windowHeight="779" tabRatio="518" activeSheetId="1"/>
    <customWorkbookView name="pav - Личное представление" guid="{539CB3DF-9B66-4BE7-9074-8CE0405EB8A6}" mergeInterval="0" personalView="1" maximized="1" xWindow="1" yWindow="1" windowWidth="1276" windowHeight="794" tabRatio="518" activeSheetId="1"/>
    <customWorkbookView name="Шулепова Ольга Анатольевна - Личное представление" guid="{67ADFAE6-A9AF-44D7-8539-93CD0F6B7849}" mergeInterval="0" personalView="1" maximized="1" windowWidth="1276" windowHeight="759" tabRatio="518" activeSheetId="1"/>
  </customWorkbookViews>
  <fileRecoveryPr autoRecover="0"/>
</workbook>
</file>

<file path=xl/calcChain.xml><?xml version="1.0" encoding="utf-8"?>
<calcChain xmlns="http://schemas.openxmlformats.org/spreadsheetml/2006/main">
  <c r="I432" i="1" l="1"/>
  <c r="I444" i="1"/>
  <c r="K964" i="1"/>
  <c r="N291" i="1" l="1"/>
  <c r="H291" i="1"/>
  <c r="G291" i="1"/>
  <c r="G437" i="1" l="1"/>
  <c r="G419" i="1" s="1"/>
  <c r="G603" i="1" l="1"/>
  <c r="G602" i="1"/>
  <c r="G601" i="1"/>
  <c r="G600" i="1"/>
  <c r="G599" i="1"/>
  <c r="G598" i="1"/>
  <c r="G597" i="1" l="1"/>
  <c r="K176" i="1"/>
  <c r="I176" i="1" s="1"/>
  <c r="K175" i="1"/>
  <c r="H527" i="1" l="1"/>
  <c r="G527" i="1"/>
  <c r="P542" i="1"/>
  <c r="O542" i="1"/>
  <c r="P541" i="1"/>
  <c r="O541" i="1"/>
  <c r="P540" i="1"/>
  <c r="O540" i="1"/>
  <c r="N539" i="1"/>
  <c r="O539" i="1" s="1"/>
  <c r="M539" i="1"/>
  <c r="L539" i="1"/>
  <c r="J539" i="1"/>
  <c r="P538" i="1"/>
  <c r="O538" i="1"/>
  <c r="K537" i="1"/>
  <c r="I537" i="1"/>
  <c r="H537" i="1"/>
  <c r="G537" i="1"/>
  <c r="F537" i="1"/>
  <c r="E537" i="1"/>
  <c r="D537" i="1"/>
  <c r="G945" i="1"/>
  <c r="G939" i="1" s="1"/>
  <c r="G933" i="1" s="1"/>
  <c r="H545" i="1"/>
  <c r="N1004" i="1"/>
  <c r="N998" i="1" s="1"/>
  <c r="O1002" i="1"/>
  <c r="N1002" i="1"/>
  <c r="O1001" i="1"/>
  <c r="N1001" i="1"/>
  <c r="O1000" i="1"/>
  <c r="N1000" i="1"/>
  <c r="O999" i="1"/>
  <c r="O998" i="1"/>
  <c r="K1002" i="1"/>
  <c r="K1001" i="1"/>
  <c r="K1000" i="1"/>
  <c r="K999" i="1"/>
  <c r="K998" i="1"/>
  <c r="I1002" i="1"/>
  <c r="H1002" i="1"/>
  <c r="G1002" i="1"/>
  <c r="I1001" i="1"/>
  <c r="H1001" i="1"/>
  <c r="G1001" i="1"/>
  <c r="I1000" i="1"/>
  <c r="H1000" i="1"/>
  <c r="G1000" i="1"/>
  <c r="I999" i="1"/>
  <c r="H999" i="1"/>
  <c r="G999" i="1"/>
  <c r="I998" i="1"/>
  <c r="H998" i="1"/>
  <c r="G998" i="1"/>
  <c r="P1008" i="1"/>
  <c r="M1008" i="1"/>
  <c r="L1008" i="1"/>
  <c r="J1008" i="1"/>
  <c r="P1007" i="1"/>
  <c r="L1007" i="1"/>
  <c r="J1007" i="1"/>
  <c r="L1004" i="1"/>
  <c r="J1004" i="1"/>
  <c r="O1003" i="1"/>
  <c r="K1003" i="1"/>
  <c r="I1003" i="1"/>
  <c r="H1003" i="1"/>
  <c r="G1003" i="1"/>
  <c r="F1003" i="1"/>
  <c r="E1003" i="1"/>
  <c r="D1003" i="1"/>
  <c r="F999" i="1"/>
  <c r="F997" i="1" s="1"/>
  <c r="E999" i="1"/>
  <c r="E997" i="1" s="1"/>
  <c r="D999" i="1"/>
  <c r="D997" i="1" s="1"/>
  <c r="H519" i="1"/>
  <c r="R656" i="1"/>
  <c r="Q656" i="1"/>
  <c r="P656" i="1"/>
  <c r="O656" i="1"/>
  <c r="M656" i="1"/>
  <c r="L656" i="1"/>
  <c r="J656" i="1"/>
  <c r="R655" i="1"/>
  <c r="Q655" i="1"/>
  <c r="P655" i="1"/>
  <c r="O655" i="1"/>
  <c r="O649" i="1" s="1"/>
  <c r="M655" i="1"/>
  <c r="L655" i="1"/>
  <c r="J655" i="1"/>
  <c r="R654" i="1"/>
  <c r="Q654" i="1"/>
  <c r="N654" i="1"/>
  <c r="O654" i="1" s="1"/>
  <c r="O648" i="1" s="1"/>
  <c r="M654" i="1"/>
  <c r="L654" i="1"/>
  <c r="J654" i="1"/>
  <c r="R653" i="1"/>
  <c r="Q653" i="1"/>
  <c r="N653" i="1"/>
  <c r="O653" i="1" s="1"/>
  <c r="O647" i="1" s="1"/>
  <c r="M653" i="1"/>
  <c r="L653" i="1"/>
  <c r="J653" i="1"/>
  <c r="F653" i="1"/>
  <c r="F651" i="1" s="1"/>
  <c r="R652" i="1"/>
  <c r="Q652" i="1"/>
  <c r="N652" i="1"/>
  <c r="P652" i="1" s="1"/>
  <c r="M652" i="1"/>
  <c r="L652" i="1"/>
  <c r="J652" i="1"/>
  <c r="K651" i="1"/>
  <c r="I651" i="1"/>
  <c r="H651" i="1"/>
  <c r="G651" i="1"/>
  <c r="E651" i="1"/>
  <c r="D651" i="1"/>
  <c r="O650" i="1"/>
  <c r="N650" i="1"/>
  <c r="K650" i="1"/>
  <c r="I650" i="1"/>
  <c r="H650" i="1"/>
  <c r="G650" i="1"/>
  <c r="N649" i="1"/>
  <c r="K649" i="1"/>
  <c r="I649" i="1"/>
  <c r="H649" i="1"/>
  <c r="G649" i="1"/>
  <c r="K648" i="1"/>
  <c r="I648" i="1"/>
  <c r="H648" i="1"/>
  <c r="G648" i="1"/>
  <c r="K647" i="1"/>
  <c r="I647" i="1"/>
  <c r="H647" i="1"/>
  <c r="G647" i="1"/>
  <c r="F647" i="1"/>
  <c r="F645" i="1" s="1"/>
  <c r="K646" i="1"/>
  <c r="I646" i="1"/>
  <c r="H646" i="1"/>
  <c r="G646" i="1"/>
  <c r="E645" i="1"/>
  <c r="D645" i="1"/>
  <c r="I658" i="1"/>
  <c r="G353" i="1"/>
  <c r="G341" i="1" s="1"/>
  <c r="J725" i="1"/>
  <c r="M737" i="1"/>
  <c r="L737" i="1"/>
  <c r="J737" i="1"/>
  <c r="M750" i="1"/>
  <c r="L750" i="1"/>
  <c r="J750" i="1"/>
  <c r="N646" i="1" l="1"/>
  <c r="Q646" i="1"/>
  <c r="I645" i="1"/>
  <c r="L1003" i="1"/>
  <c r="Q650" i="1"/>
  <c r="L651" i="1"/>
  <c r="N537" i="1"/>
  <c r="O537" i="1" s="1"/>
  <c r="Q647" i="1"/>
  <c r="Q648" i="1"/>
  <c r="Q649" i="1"/>
  <c r="M537" i="1"/>
  <c r="J537" i="1"/>
  <c r="L537" i="1"/>
  <c r="P539" i="1"/>
  <c r="G645" i="1"/>
  <c r="N647" i="1"/>
  <c r="P647" i="1" s="1"/>
  <c r="N1003" i="1"/>
  <c r="P1003" i="1" s="1"/>
  <c r="K645" i="1"/>
  <c r="N648" i="1"/>
  <c r="P648" i="1" s="1"/>
  <c r="N651" i="1"/>
  <c r="P651" i="1" s="1"/>
  <c r="G997" i="1"/>
  <c r="E29" i="2" s="1"/>
  <c r="I997" i="1"/>
  <c r="G29" i="2" s="1"/>
  <c r="O997" i="1"/>
  <c r="H645" i="1"/>
  <c r="R646" i="1"/>
  <c r="R647" i="1"/>
  <c r="R649" i="1"/>
  <c r="R650" i="1"/>
  <c r="R648" i="1"/>
  <c r="H997" i="1"/>
  <c r="F29" i="2" s="1"/>
  <c r="K997" i="1"/>
  <c r="H29" i="2" s="1"/>
  <c r="J29" i="2" s="1"/>
  <c r="N997" i="1"/>
  <c r="P998" i="1"/>
  <c r="P1004" i="1"/>
  <c r="J1003" i="1"/>
  <c r="R651" i="1"/>
  <c r="L646" i="1"/>
  <c r="M647" i="1"/>
  <c r="M649" i="1"/>
  <c r="M650" i="1"/>
  <c r="P646" i="1"/>
  <c r="M648" i="1"/>
  <c r="P649" i="1"/>
  <c r="P650" i="1"/>
  <c r="M651" i="1"/>
  <c r="M646" i="1"/>
  <c r="J647" i="1"/>
  <c r="L647" i="1"/>
  <c r="J648" i="1"/>
  <c r="L648" i="1"/>
  <c r="J649" i="1"/>
  <c r="L649" i="1"/>
  <c r="J650" i="1"/>
  <c r="L650" i="1"/>
  <c r="Q651" i="1"/>
  <c r="O652" i="1"/>
  <c r="O646" i="1" s="1"/>
  <c r="P653" i="1"/>
  <c r="P654" i="1"/>
  <c r="J646" i="1"/>
  <c r="J651" i="1"/>
  <c r="H963" i="1"/>
  <c r="K659" i="1"/>
  <c r="K658" i="1"/>
  <c r="I659" i="1"/>
  <c r="K134" i="1"/>
  <c r="M781" i="1"/>
  <c r="I29" i="2" l="1"/>
  <c r="L645" i="1"/>
  <c r="R645" i="1"/>
  <c r="M645" i="1"/>
  <c r="O651" i="1"/>
  <c r="P997" i="1"/>
  <c r="Q645" i="1"/>
  <c r="P537" i="1"/>
  <c r="J645" i="1"/>
  <c r="N645" i="1"/>
  <c r="I625" i="1"/>
  <c r="G311" i="1"/>
  <c r="G313" i="1"/>
  <c r="G312" i="1"/>
  <c r="G310" i="1"/>
  <c r="G500" i="1"/>
  <c r="P645" i="1" l="1"/>
  <c r="O645" i="1"/>
  <c r="G309" i="1"/>
  <c r="N460" i="1"/>
  <c r="P460" i="1" s="1"/>
  <c r="P335" i="1"/>
  <c r="O335" i="1"/>
  <c r="I311" i="1" l="1"/>
  <c r="K311" i="1"/>
  <c r="H311" i="1"/>
  <c r="O311" i="1" l="1"/>
  <c r="O309" i="1" s="1"/>
  <c r="N311" i="1"/>
  <c r="H333" i="1"/>
  <c r="I333" i="1"/>
  <c r="J333" i="1"/>
  <c r="K333" i="1"/>
  <c r="L333" i="1"/>
  <c r="M333" i="1"/>
  <c r="N333" i="1"/>
  <c r="O333" i="1"/>
  <c r="Q333" i="1"/>
  <c r="R333" i="1"/>
  <c r="G333" i="1"/>
  <c r="P333" i="1" l="1"/>
  <c r="P876" i="1"/>
  <c r="P875" i="1"/>
  <c r="P852" i="1"/>
  <c r="P851" i="1"/>
  <c r="P846" i="1"/>
  <c r="P845" i="1"/>
  <c r="N833" i="1"/>
  <c r="O833" i="1" s="1"/>
  <c r="N827" i="1"/>
  <c r="I825" i="1"/>
  <c r="H163" i="1" l="1"/>
  <c r="G163" i="1"/>
  <c r="I175" i="1"/>
  <c r="M181" i="1"/>
  <c r="K139" i="1"/>
  <c r="H946" i="1"/>
  <c r="H940" i="1" s="1"/>
  <c r="I31" i="1"/>
  <c r="I134" i="1"/>
  <c r="I246" i="1"/>
  <c r="I245" i="1"/>
  <c r="I815" i="1"/>
  <c r="I450" i="1"/>
  <c r="I449" i="1"/>
  <c r="I47" i="1"/>
  <c r="J163" i="1" l="1"/>
  <c r="G176" i="1" l="1"/>
  <c r="I139" i="1"/>
  <c r="N67" i="1"/>
  <c r="O67" i="1" s="1"/>
  <c r="G765" i="1" l="1"/>
  <c r="G759" i="1"/>
  <c r="G753" i="1"/>
  <c r="G747" i="1"/>
  <c r="G741" i="1"/>
  <c r="G735" i="1"/>
  <c r="G729" i="1"/>
  <c r="G723" i="1"/>
  <c r="G717" i="1"/>
  <c r="G716" i="1"/>
  <c r="G715" i="1"/>
  <c r="G691" i="1" s="1"/>
  <c r="G714" i="1"/>
  <c r="G690" i="1" s="1"/>
  <c r="G713" i="1"/>
  <c r="G689" i="1" s="1"/>
  <c r="G712" i="1"/>
  <c r="G705" i="1"/>
  <c r="G699" i="1"/>
  <c r="G693" i="1"/>
  <c r="G692" i="1"/>
  <c r="K738" i="1"/>
  <c r="G711" i="1" l="1"/>
  <c r="G688" i="1"/>
  <c r="G687" i="1" s="1"/>
  <c r="L814" i="1"/>
  <c r="M814" i="1"/>
  <c r="P814" i="1"/>
  <c r="P818" i="1"/>
  <c r="O818" i="1"/>
  <c r="M818" i="1"/>
  <c r="M817" i="1"/>
  <c r="L818" i="1"/>
  <c r="J818" i="1"/>
  <c r="H817" i="1"/>
  <c r="J817" i="1" s="1"/>
  <c r="K816" i="1"/>
  <c r="K443" i="1"/>
  <c r="N923" i="1"/>
  <c r="P923" i="1" s="1"/>
  <c r="H921" i="1"/>
  <c r="N924" i="1"/>
  <c r="P924" i="1" s="1"/>
  <c r="G809" i="1"/>
  <c r="H809" i="1"/>
  <c r="G810" i="1"/>
  <c r="H810" i="1"/>
  <c r="G811" i="1"/>
  <c r="G805" i="1" s="1"/>
  <c r="H811" i="1" l="1"/>
  <c r="H805" i="1" s="1"/>
  <c r="L817" i="1"/>
  <c r="N922" i="1"/>
  <c r="G921" i="1"/>
  <c r="H823" i="1"/>
  <c r="I479" i="1"/>
  <c r="I478" i="1"/>
  <c r="H176" i="1"/>
  <c r="D849" i="1"/>
  <c r="E849" i="1"/>
  <c r="F849" i="1"/>
  <c r="H849" i="1"/>
  <c r="I849" i="1"/>
  <c r="K849" i="1"/>
  <c r="J850" i="1"/>
  <c r="L850" i="1"/>
  <c r="M850" i="1"/>
  <c r="N850" i="1"/>
  <c r="G851" i="1"/>
  <c r="J851" i="1"/>
  <c r="L851" i="1"/>
  <c r="M851" i="1"/>
  <c r="O851" i="1"/>
  <c r="G852" i="1"/>
  <c r="J852" i="1"/>
  <c r="L852" i="1"/>
  <c r="M852" i="1"/>
  <c r="O852" i="1"/>
  <c r="J853" i="1"/>
  <c r="L853" i="1"/>
  <c r="M853" i="1"/>
  <c r="N853" i="1"/>
  <c r="O853" i="1" s="1"/>
  <c r="J854" i="1"/>
  <c r="L854" i="1"/>
  <c r="M854" i="1"/>
  <c r="N854" i="1"/>
  <c r="O854" i="1" s="1"/>
  <c r="N145" i="1"/>
  <c r="N139" i="1" s="1"/>
  <c r="H139" i="1"/>
  <c r="G139" i="1"/>
  <c r="M145" i="1"/>
  <c r="L145" i="1"/>
  <c r="J145" i="1"/>
  <c r="F143" i="1"/>
  <c r="E143" i="1"/>
  <c r="D143" i="1"/>
  <c r="F142" i="1"/>
  <c r="E142" i="1"/>
  <c r="D142" i="1"/>
  <c r="F141" i="1"/>
  <c r="E141" i="1"/>
  <c r="D141" i="1"/>
  <c r="I140" i="1"/>
  <c r="H140" i="1"/>
  <c r="G140" i="1"/>
  <c r="F140" i="1"/>
  <c r="E140" i="1"/>
  <c r="D140" i="1"/>
  <c r="F139" i="1"/>
  <c r="E139" i="1"/>
  <c r="D139" i="1"/>
  <c r="F138" i="1"/>
  <c r="E138" i="1"/>
  <c r="D138" i="1"/>
  <c r="J584" i="1"/>
  <c r="L139" i="1" l="1"/>
  <c r="D137" i="1"/>
  <c r="F137" i="1"/>
  <c r="L849" i="1"/>
  <c r="O145" i="1"/>
  <c r="O139" i="1" s="1"/>
  <c r="P145" i="1"/>
  <c r="G849" i="1"/>
  <c r="J139" i="1"/>
  <c r="M139" i="1"/>
  <c r="M849" i="1"/>
  <c r="J849" i="1"/>
  <c r="E137" i="1"/>
  <c r="P139" i="1"/>
  <c r="N849" i="1"/>
  <c r="P849" i="1" s="1"/>
  <c r="O850" i="1"/>
  <c r="O849" i="1" s="1"/>
  <c r="N133" i="1" l="1"/>
  <c r="P133" i="1" s="1"/>
  <c r="M133" i="1"/>
  <c r="L133" i="1"/>
  <c r="J133" i="1"/>
  <c r="O133" i="1" l="1"/>
  <c r="H432" i="1" l="1"/>
  <c r="N694" i="1" l="1"/>
  <c r="N695" i="1"/>
  <c r="N396" i="1" l="1"/>
  <c r="H773" i="1" l="1"/>
  <c r="K365" i="1"/>
  <c r="I365" i="1"/>
  <c r="H365" i="1"/>
  <c r="K341" i="1"/>
  <c r="I341" i="1"/>
  <c r="N359" i="1"/>
  <c r="O359" i="1" s="1"/>
  <c r="P362" i="1"/>
  <c r="O362" i="1"/>
  <c r="M362" i="1"/>
  <c r="L362" i="1"/>
  <c r="J362" i="1"/>
  <c r="P361" i="1"/>
  <c r="O361" i="1"/>
  <c r="M361" i="1"/>
  <c r="L361" i="1"/>
  <c r="J361" i="1"/>
  <c r="P360" i="1"/>
  <c r="O360" i="1"/>
  <c r="M360" i="1"/>
  <c r="L360" i="1"/>
  <c r="J360" i="1"/>
  <c r="M359" i="1"/>
  <c r="P358" i="1"/>
  <c r="O358" i="1"/>
  <c r="M358" i="1"/>
  <c r="L358" i="1"/>
  <c r="J358" i="1"/>
  <c r="K357" i="1"/>
  <c r="I357" i="1"/>
  <c r="H357" i="1"/>
  <c r="G357" i="1"/>
  <c r="N353" i="1"/>
  <c r="H353" i="1"/>
  <c r="P452" i="1"/>
  <c r="O452" i="1"/>
  <c r="P448" i="1"/>
  <c r="O448" i="1"/>
  <c r="M452" i="1"/>
  <c r="L452" i="1"/>
  <c r="N451" i="1"/>
  <c r="O451" i="1" s="1"/>
  <c r="M451" i="1"/>
  <c r="L451" i="1"/>
  <c r="N450" i="1"/>
  <c r="P450" i="1" s="1"/>
  <c r="M450" i="1"/>
  <c r="L450" i="1"/>
  <c r="N449" i="1"/>
  <c r="O449" i="1" s="1"/>
  <c r="M449" i="1"/>
  <c r="L449" i="1"/>
  <c r="M448" i="1"/>
  <c r="L448" i="1"/>
  <c r="J452" i="1"/>
  <c r="J451" i="1"/>
  <c r="J450" i="1"/>
  <c r="J449" i="1"/>
  <c r="J448" i="1"/>
  <c r="G447" i="1"/>
  <c r="K447" i="1"/>
  <c r="I447" i="1"/>
  <c r="H447" i="1"/>
  <c r="P359" i="1" l="1"/>
  <c r="H341" i="1"/>
  <c r="H351" i="1"/>
  <c r="N357" i="1"/>
  <c r="O357" i="1" s="1"/>
  <c r="N341" i="1"/>
  <c r="M357" i="1"/>
  <c r="L357" i="1"/>
  <c r="L359" i="1"/>
  <c r="J357" i="1"/>
  <c r="J359" i="1"/>
  <c r="J447" i="1"/>
  <c r="L447" i="1"/>
  <c r="N447" i="1"/>
  <c r="P447" i="1" s="1"/>
  <c r="P449" i="1"/>
  <c r="P451" i="1"/>
  <c r="O450" i="1"/>
  <c r="M447" i="1"/>
  <c r="P266" i="1"/>
  <c r="P265" i="1"/>
  <c r="P264" i="1"/>
  <c r="P263" i="1"/>
  <c r="P262" i="1"/>
  <c r="P260" i="1"/>
  <c r="P259" i="1"/>
  <c r="O261" i="1"/>
  <c r="N261" i="1"/>
  <c r="K261" i="1"/>
  <c r="I261" i="1"/>
  <c r="H261" i="1"/>
  <c r="G261" i="1"/>
  <c r="K257" i="1"/>
  <c r="N257" i="1"/>
  <c r="M266" i="1"/>
  <c r="M265" i="1"/>
  <c r="M264" i="1"/>
  <c r="M263" i="1"/>
  <c r="M262" i="1"/>
  <c r="M260" i="1"/>
  <c r="M259" i="1"/>
  <c r="M258" i="1"/>
  <c r="L266" i="1"/>
  <c r="L265" i="1"/>
  <c r="L264" i="1"/>
  <c r="L263" i="1"/>
  <c r="L262" i="1"/>
  <c r="L260" i="1"/>
  <c r="L259" i="1"/>
  <c r="L258" i="1"/>
  <c r="J266" i="1"/>
  <c r="J265" i="1"/>
  <c r="J264" i="1"/>
  <c r="J263" i="1"/>
  <c r="J262" i="1"/>
  <c r="J260" i="1"/>
  <c r="J259" i="1"/>
  <c r="J258" i="1"/>
  <c r="I257" i="1"/>
  <c r="H257" i="1"/>
  <c r="G257" i="1"/>
  <c r="N344" i="1"/>
  <c r="N308" i="1" s="1"/>
  <c r="N343" i="1"/>
  <c r="N342" i="1"/>
  <c r="N340" i="1"/>
  <c r="K344" i="1"/>
  <c r="K308" i="1" s="1"/>
  <c r="K343" i="1"/>
  <c r="K342" i="1"/>
  <c r="K340" i="1"/>
  <c r="I344" i="1"/>
  <c r="I308" i="1" s="1"/>
  <c r="I343" i="1"/>
  <c r="I342" i="1"/>
  <c r="H344" i="1"/>
  <c r="H308" i="1" s="1"/>
  <c r="H343" i="1"/>
  <c r="H342" i="1"/>
  <c r="I340" i="1"/>
  <c r="H340" i="1"/>
  <c r="O340" i="1" s="1"/>
  <c r="G344" i="1"/>
  <c r="G308" i="1" s="1"/>
  <c r="G343" i="1"/>
  <c r="G342" i="1"/>
  <c r="G340" i="1"/>
  <c r="P356" i="1"/>
  <c r="P355" i="1"/>
  <c r="P354" i="1"/>
  <c r="P353" i="1"/>
  <c r="P352" i="1"/>
  <c r="P350" i="1"/>
  <c r="P349" i="1"/>
  <c r="P348" i="1"/>
  <c r="P347" i="1"/>
  <c r="P346" i="1"/>
  <c r="P332" i="1"/>
  <c r="O356" i="1"/>
  <c r="O355" i="1"/>
  <c r="O354" i="1"/>
  <c r="O353" i="1"/>
  <c r="O352" i="1"/>
  <c r="O350" i="1"/>
  <c r="O349" i="1"/>
  <c r="O348" i="1"/>
  <c r="O347" i="1"/>
  <c r="O346" i="1"/>
  <c r="N351" i="1"/>
  <c r="N345" i="1"/>
  <c r="K351" i="1"/>
  <c r="I351" i="1"/>
  <c r="G351" i="1"/>
  <c r="M356" i="1"/>
  <c r="M355" i="1"/>
  <c r="M354" i="1"/>
  <c r="M353" i="1"/>
  <c r="M352" i="1"/>
  <c r="M350" i="1"/>
  <c r="M349" i="1"/>
  <c r="M348" i="1"/>
  <c r="M347" i="1"/>
  <c r="M346" i="1"/>
  <c r="M339" i="1"/>
  <c r="M332" i="1"/>
  <c r="M331" i="1"/>
  <c r="M330" i="1"/>
  <c r="L356" i="1"/>
  <c r="L355" i="1"/>
  <c r="L354" i="1"/>
  <c r="L353" i="1"/>
  <c r="L352" i="1"/>
  <c r="L350" i="1"/>
  <c r="L349" i="1"/>
  <c r="L348" i="1"/>
  <c r="L347" i="1"/>
  <c r="L346" i="1"/>
  <c r="L332" i="1"/>
  <c r="L331" i="1"/>
  <c r="L330" i="1"/>
  <c r="K345" i="1"/>
  <c r="J356" i="1"/>
  <c r="J355" i="1"/>
  <c r="J354" i="1"/>
  <c r="J353" i="1"/>
  <c r="J352" i="1"/>
  <c r="J350" i="1"/>
  <c r="J349" i="1"/>
  <c r="J348" i="1"/>
  <c r="J347" i="1"/>
  <c r="J346" i="1"/>
  <c r="J332" i="1"/>
  <c r="J331" i="1"/>
  <c r="J330" i="1"/>
  <c r="I345" i="1"/>
  <c r="H345" i="1"/>
  <c r="G345" i="1"/>
  <c r="G339" i="1" l="1"/>
  <c r="J343" i="1"/>
  <c r="P357" i="1"/>
  <c r="P343" i="1"/>
  <c r="M340" i="1"/>
  <c r="J261" i="1"/>
  <c r="M343" i="1"/>
  <c r="J345" i="1"/>
  <c r="J340" i="1"/>
  <c r="L345" i="1"/>
  <c r="M341" i="1"/>
  <c r="L340" i="1"/>
  <c r="O447" i="1"/>
  <c r="P341" i="1"/>
  <c r="O351" i="1"/>
  <c r="J341" i="1"/>
  <c r="L341" i="1"/>
  <c r="O341" i="1"/>
  <c r="J351" i="1"/>
  <c r="O343" i="1"/>
  <c r="P345" i="1"/>
  <c r="P342" i="1"/>
  <c r="L344" i="1"/>
  <c r="M351" i="1"/>
  <c r="P344" i="1"/>
  <c r="H339" i="1"/>
  <c r="L339" i="1" s="1"/>
  <c r="J342" i="1"/>
  <c r="N339" i="1"/>
  <c r="M261" i="1"/>
  <c r="O345" i="1"/>
  <c r="J344" i="1"/>
  <c r="M345" i="1"/>
  <c r="M344" i="1"/>
  <c r="P351" i="1"/>
  <c r="O344" i="1"/>
  <c r="P340" i="1"/>
  <c r="L261" i="1"/>
  <c r="P261" i="1"/>
  <c r="L342" i="1"/>
  <c r="L343" i="1"/>
  <c r="L351" i="1"/>
  <c r="M342" i="1"/>
  <c r="O342" i="1"/>
  <c r="M786" i="1"/>
  <c r="L786" i="1"/>
  <c r="J786" i="1"/>
  <c r="J781" i="1"/>
  <c r="J779" i="1"/>
  <c r="P779" i="1"/>
  <c r="P785" i="1"/>
  <c r="O779" i="1"/>
  <c r="O778" i="1"/>
  <c r="M779" i="1"/>
  <c r="K776" i="1"/>
  <c r="K775" i="1"/>
  <c r="K774" i="1"/>
  <c r="K773" i="1"/>
  <c r="K772" i="1"/>
  <c r="M785" i="1"/>
  <c r="L785" i="1"/>
  <c r="J339" i="1" l="1"/>
  <c r="P339" i="1"/>
  <c r="O339" i="1"/>
  <c r="N159" i="1" l="1"/>
  <c r="K159" i="1"/>
  <c r="K158" i="1"/>
  <c r="K157" i="1"/>
  <c r="K156" i="1"/>
  <c r="I159" i="1"/>
  <c r="H159" i="1"/>
  <c r="I158" i="1"/>
  <c r="I157" i="1"/>
  <c r="I156" i="1"/>
  <c r="H156" i="1"/>
  <c r="G159" i="1"/>
  <c r="G156" i="1"/>
  <c r="M605" i="1" l="1"/>
  <c r="H175" i="1" l="1"/>
  <c r="H157" i="1" s="1"/>
  <c r="H158" i="1"/>
  <c r="G158" i="1"/>
  <c r="G175" i="1"/>
  <c r="G157" i="1" s="1"/>
  <c r="N605" i="1"/>
  <c r="P605" i="1" s="1"/>
  <c r="P604" i="1"/>
  <c r="L604" i="1"/>
  <c r="L605" i="1"/>
  <c r="L607" i="1"/>
  <c r="L608" i="1"/>
  <c r="J604" i="1"/>
  <c r="J605" i="1"/>
  <c r="J607" i="1"/>
  <c r="J608" i="1"/>
  <c r="N598" i="1"/>
  <c r="K602" i="1"/>
  <c r="K601" i="1"/>
  <c r="K600" i="1"/>
  <c r="K599" i="1"/>
  <c r="K598" i="1"/>
  <c r="H598" i="1"/>
  <c r="I598" i="1"/>
  <c r="H599" i="1"/>
  <c r="I599" i="1"/>
  <c r="H600" i="1"/>
  <c r="I600" i="1"/>
  <c r="M600" i="1" s="1"/>
  <c r="H601" i="1"/>
  <c r="I601" i="1"/>
  <c r="H602" i="1"/>
  <c r="I602" i="1"/>
  <c r="R608" i="1"/>
  <c r="Q608" i="1"/>
  <c r="N608" i="1"/>
  <c r="O608" i="1" s="1"/>
  <c r="O602" i="1" s="1"/>
  <c r="R607" i="1"/>
  <c r="Q607" i="1"/>
  <c r="N607" i="1"/>
  <c r="O607" i="1" s="1"/>
  <c r="O601" i="1" s="1"/>
  <c r="R606" i="1"/>
  <c r="Q606" i="1"/>
  <c r="N606" i="1"/>
  <c r="N600" i="1" s="1"/>
  <c r="M606" i="1"/>
  <c r="L606" i="1"/>
  <c r="J606" i="1"/>
  <c r="R605" i="1"/>
  <c r="Q605" i="1"/>
  <c r="R604" i="1"/>
  <c r="Q604" i="1"/>
  <c r="O604" i="1"/>
  <c r="K603" i="1"/>
  <c r="I603" i="1"/>
  <c r="H603" i="1"/>
  <c r="F603" i="1"/>
  <c r="E603" i="1"/>
  <c r="D603" i="1"/>
  <c r="F597" i="1"/>
  <c r="E597" i="1"/>
  <c r="D597" i="1"/>
  <c r="O605" i="1" l="1"/>
  <c r="O599" i="1" s="1"/>
  <c r="N599" i="1"/>
  <c r="P599" i="1" s="1"/>
  <c r="Q603" i="1"/>
  <c r="M599" i="1"/>
  <c r="P600" i="1"/>
  <c r="J601" i="1"/>
  <c r="R599" i="1"/>
  <c r="J598" i="1"/>
  <c r="K597" i="1"/>
  <c r="L600" i="1"/>
  <c r="M602" i="1"/>
  <c r="N602" i="1"/>
  <c r="M603" i="1"/>
  <c r="P598" i="1"/>
  <c r="I597" i="1"/>
  <c r="Q600" i="1"/>
  <c r="L601" i="1"/>
  <c r="P608" i="1"/>
  <c r="R598" i="1"/>
  <c r="P607" i="1"/>
  <c r="R602" i="1"/>
  <c r="O598" i="1"/>
  <c r="N601" i="1"/>
  <c r="P601" i="1" s="1"/>
  <c r="Q598" i="1"/>
  <c r="L602" i="1"/>
  <c r="R601" i="1"/>
  <c r="J600" i="1"/>
  <c r="L598" i="1"/>
  <c r="L599" i="1"/>
  <c r="Q599" i="1"/>
  <c r="J599" i="1"/>
  <c r="Q601" i="1"/>
  <c r="O606" i="1"/>
  <c r="O600" i="1" s="1"/>
  <c r="L603" i="1"/>
  <c r="P606" i="1"/>
  <c r="H597" i="1"/>
  <c r="R600" i="1"/>
  <c r="Q602" i="1"/>
  <c r="J603" i="1"/>
  <c r="N603" i="1"/>
  <c r="R603" i="1"/>
  <c r="J602" i="1"/>
  <c r="J918" i="1"/>
  <c r="G918" i="1"/>
  <c r="G917" i="1"/>
  <c r="J912" i="1"/>
  <c r="G912" i="1"/>
  <c r="G911" i="1"/>
  <c r="L906" i="1"/>
  <c r="G906" i="1"/>
  <c r="G905" i="1"/>
  <c r="J900" i="1"/>
  <c r="G900" i="1"/>
  <c r="G899" i="1"/>
  <c r="H894" i="1"/>
  <c r="G894" i="1"/>
  <c r="H893" i="1"/>
  <c r="O893" i="1" s="1"/>
  <c r="G893" i="1"/>
  <c r="H887" i="1"/>
  <c r="G887" i="1"/>
  <c r="G885" i="1" s="1"/>
  <c r="H881" i="1"/>
  <c r="H879" i="1" s="1"/>
  <c r="G881" i="1"/>
  <c r="G879" i="1" s="1"/>
  <c r="L876" i="1"/>
  <c r="G876" i="1"/>
  <c r="G875" i="1"/>
  <c r="H870" i="1"/>
  <c r="G870" i="1"/>
  <c r="H869" i="1"/>
  <c r="L869" i="1" s="1"/>
  <c r="G869" i="1"/>
  <c r="H864" i="1"/>
  <c r="G864" i="1"/>
  <c r="H863" i="1"/>
  <c r="G863" i="1"/>
  <c r="H858" i="1"/>
  <c r="L858" i="1" s="1"/>
  <c r="G858" i="1"/>
  <c r="H857" i="1"/>
  <c r="J857" i="1" s="1"/>
  <c r="G857" i="1"/>
  <c r="J846" i="1"/>
  <c r="G846" i="1"/>
  <c r="G845" i="1"/>
  <c r="H840" i="1"/>
  <c r="G840" i="1"/>
  <c r="H839" i="1"/>
  <c r="G839" i="1"/>
  <c r="G834" i="1"/>
  <c r="G833" i="1"/>
  <c r="L828" i="1"/>
  <c r="G828" i="1"/>
  <c r="G827" i="1"/>
  <c r="K824" i="1"/>
  <c r="K823" i="1"/>
  <c r="K822" i="1"/>
  <c r="K821" i="1"/>
  <c r="K820" i="1"/>
  <c r="H820" i="1"/>
  <c r="I820" i="1"/>
  <c r="I821" i="1"/>
  <c r="I822" i="1"/>
  <c r="I823" i="1"/>
  <c r="H824" i="1"/>
  <c r="I824" i="1"/>
  <c r="G823" i="1"/>
  <c r="G824" i="1"/>
  <c r="G820" i="1"/>
  <c r="N920" i="1"/>
  <c r="O920" i="1" s="1"/>
  <c r="M920" i="1"/>
  <c r="L920" i="1"/>
  <c r="J920" i="1"/>
  <c r="N919" i="1"/>
  <c r="M919" i="1"/>
  <c r="L919" i="1"/>
  <c r="J919" i="1"/>
  <c r="M918" i="1"/>
  <c r="M917" i="1"/>
  <c r="N916" i="1"/>
  <c r="O916" i="1" s="1"/>
  <c r="M916" i="1"/>
  <c r="L916" i="1"/>
  <c r="J916" i="1"/>
  <c r="K915" i="1"/>
  <c r="I915" i="1"/>
  <c r="F915" i="1"/>
  <c r="E915" i="1"/>
  <c r="D915" i="1"/>
  <c r="N914" i="1"/>
  <c r="O914" i="1" s="1"/>
  <c r="M914" i="1"/>
  <c r="L914" i="1"/>
  <c r="J914" i="1"/>
  <c r="N913" i="1"/>
  <c r="O913" i="1" s="1"/>
  <c r="M913" i="1"/>
  <c r="L913" i="1"/>
  <c r="J913" i="1"/>
  <c r="M912" i="1"/>
  <c r="N911" i="1"/>
  <c r="P911" i="1" s="1"/>
  <c r="M911" i="1"/>
  <c r="L911" i="1"/>
  <c r="N910" i="1"/>
  <c r="O910" i="1" s="1"/>
  <c r="M910" i="1"/>
  <c r="L910" i="1"/>
  <c r="J910" i="1"/>
  <c r="K909" i="1"/>
  <c r="I909" i="1"/>
  <c r="F909" i="1"/>
  <c r="E909" i="1"/>
  <c r="D909" i="1"/>
  <c r="N908" i="1"/>
  <c r="O908" i="1" s="1"/>
  <c r="M908" i="1"/>
  <c r="L908" i="1"/>
  <c r="J908" i="1"/>
  <c r="N907" i="1"/>
  <c r="M907" i="1"/>
  <c r="L907" i="1"/>
  <c r="J907" i="1"/>
  <c r="M906" i="1"/>
  <c r="M905" i="1"/>
  <c r="J905" i="1"/>
  <c r="N904" i="1"/>
  <c r="O904" i="1" s="1"/>
  <c r="M904" i="1"/>
  <c r="L904" i="1"/>
  <c r="J904" i="1"/>
  <c r="K903" i="1"/>
  <c r="I903" i="1"/>
  <c r="F903" i="1"/>
  <c r="E903" i="1"/>
  <c r="D903" i="1"/>
  <c r="N902" i="1"/>
  <c r="O902" i="1" s="1"/>
  <c r="M902" i="1"/>
  <c r="L902" i="1"/>
  <c r="J902" i="1"/>
  <c r="N901" i="1"/>
  <c r="O901" i="1" s="1"/>
  <c r="M901" i="1"/>
  <c r="L901" i="1"/>
  <c r="J901" i="1"/>
  <c r="M900" i="1"/>
  <c r="N899" i="1"/>
  <c r="M899" i="1"/>
  <c r="L899" i="1"/>
  <c r="N898" i="1"/>
  <c r="O898" i="1" s="1"/>
  <c r="M898" i="1"/>
  <c r="L898" i="1"/>
  <c r="J898" i="1"/>
  <c r="K897" i="1"/>
  <c r="I897" i="1"/>
  <c r="F897" i="1"/>
  <c r="E897" i="1"/>
  <c r="D897" i="1"/>
  <c r="N896" i="1"/>
  <c r="O896" i="1" s="1"/>
  <c r="M896" i="1"/>
  <c r="L896" i="1"/>
  <c r="J896" i="1"/>
  <c r="N895" i="1"/>
  <c r="O895" i="1" s="1"/>
  <c r="M895" i="1"/>
  <c r="L895" i="1"/>
  <c r="J895" i="1"/>
  <c r="M894" i="1"/>
  <c r="M893" i="1"/>
  <c r="N892" i="1"/>
  <c r="O892" i="1" s="1"/>
  <c r="M892" i="1"/>
  <c r="L892" i="1"/>
  <c r="J892" i="1"/>
  <c r="K891" i="1"/>
  <c r="I891" i="1"/>
  <c r="F891" i="1"/>
  <c r="E891" i="1"/>
  <c r="D891" i="1"/>
  <c r="N890" i="1"/>
  <c r="O890" i="1" s="1"/>
  <c r="M890" i="1"/>
  <c r="L890" i="1"/>
  <c r="J890" i="1"/>
  <c r="N889" i="1"/>
  <c r="M889" i="1"/>
  <c r="L889" i="1"/>
  <c r="J889" i="1"/>
  <c r="M888" i="1"/>
  <c r="L888" i="1"/>
  <c r="J888" i="1"/>
  <c r="M887" i="1"/>
  <c r="N886" i="1"/>
  <c r="M886" i="1"/>
  <c r="L886" i="1"/>
  <c r="J886" i="1"/>
  <c r="K885" i="1"/>
  <c r="I885" i="1"/>
  <c r="F885" i="1"/>
  <c r="E885" i="1"/>
  <c r="D885" i="1"/>
  <c r="N884" i="1"/>
  <c r="M884" i="1"/>
  <c r="L884" i="1"/>
  <c r="J884" i="1"/>
  <c r="N883" i="1"/>
  <c r="M883" i="1"/>
  <c r="L883" i="1"/>
  <c r="J883" i="1"/>
  <c r="M882" i="1"/>
  <c r="L882" i="1"/>
  <c r="J882" i="1"/>
  <c r="M881" i="1"/>
  <c r="J881" i="1"/>
  <c r="N880" i="1"/>
  <c r="M880" i="1"/>
  <c r="L880" i="1"/>
  <c r="J880" i="1"/>
  <c r="K879" i="1"/>
  <c r="I879" i="1"/>
  <c r="F879" i="1"/>
  <c r="E879" i="1"/>
  <c r="D879" i="1"/>
  <c r="N878" i="1"/>
  <c r="O878" i="1" s="1"/>
  <c r="M878" i="1"/>
  <c r="L878" i="1"/>
  <c r="J878" i="1"/>
  <c r="N877" i="1"/>
  <c r="M877" i="1"/>
  <c r="L877" i="1"/>
  <c r="J877" i="1"/>
  <c r="M876" i="1"/>
  <c r="M875" i="1"/>
  <c r="L875" i="1"/>
  <c r="N874" i="1"/>
  <c r="O874" i="1" s="1"/>
  <c r="M874" i="1"/>
  <c r="L874" i="1"/>
  <c r="J874" i="1"/>
  <c r="K873" i="1"/>
  <c r="I873" i="1"/>
  <c r="F873" i="1"/>
  <c r="E873" i="1"/>
  <c r="D873" i="1"/>
  <c r="N872" i="1"/>
  <c r="O872" i="1" s="1"/>
  <c r="M872" i="1"/>
  <c r="L872" i="1"/>
  <c r="J872" i="1"/>
  <c r="N871" i="1"/>
  <c r="M871" i="1"/>
  <c r="L871" i="1"/>
  <c r="J871" i="1"/>
  <c r="M870" i="1"/>
  <c r="M869" i="1"/>
  <c r="N868" i="1"/>
  <c r="P868" i="1" s="1"/>
  <c r="M868" i="1"/>
  <c r="L868" i="1"/>
  <c r="J868" i="1"/>
  <c r="K867" i="1"/>
  <c r="I867" i="1"/>
  <c r="F867" i="1"/>
  <c r="E867" i="1"/>
  <c r="D867" i="1"/>
  <c r="N866" i="1"/>
  <c r="M866" i="1"/>
  <c r="L866" i="1"/>
  <c r="J866" i="1"/>
  <c r="N865" i="1"/>
  <c r="M865" i="1"/>
  <c r="L865" i="1"/>
  <c r="J865" i="1"/>
  <c r="M864" i="1"/>
  <c r="M863" i="1"/>
  <c r="N862" i="1"/>
  <c r="M862" i="1"/>
  <c r="L862" i="1"/>
  <c r="J862" i="1"/>
  <c r="K861" i="1"/>
  <c r="I861" i="1"/>
  <c r="F861" i="1"/>
  <c r="E861" i="1"/>
  <c r="D861" i="1"/>
  <c r="N860" i="1"/>
  <c r="O860" i="1" s="1"/>
  <c r="M860" i="1"/>
  <c r="L860" i="1"/>
  <c r="J860" i="1"/>
  <c r="N859" i="1"/>
  <c r="O859" i="1" s="1"/>
  <c r="M859" i="1"/>
  <c r="L859" i="1"/>
  <c r="J859" i="1"/>
  <c r="M858" i="1"/>
  <c r="M857" i="1"/>
  <c r="N856" i="1"/>
  <c r="O856" i="1" s="1"/>
  <c r="M856" i="1"/>
  <c r="L856" i="1"/>
  <c r="J856" i="1"/>
  <c r="K855" i="1"/>
  <c r="I855" i="1"/>
  <c r="F855" i="1"/>
  <c r="E855" i="1"/>
  <c r="D855" i="1"/>
  <c r="N848" i="1"/>
  <c r="O848" i="1" s="1"/>
  <c r="M848" i="1"/>
  <c r="L848" i="1"/>
  <c r="J848" i="1"/>
  <c r="N847" i="1"/>
  <c r="M847" i="1"/>
  <c r="L847" i="1"/>
  <c r="J847" i="1"/>
  <c r="M846" i="1"/>
  <c r="M845" i="1"/>
  <c r="L845" i="1"/>
  <c r="N844" i="1"/>
  <c r="O844" i="1" s="1"/>
  <c r="M844" i="1"/>
  <c r="L844" i="1"/>
  <c r="J844" i="1"/>
  <c r="K843" i="1"/>
  <c r="I843" i="1"/>
  <c r="F843" i="1"/>
  <c r="E843" i="1"/>
  <c r="D843" i="1"/>
  <c r="N842" i="1"/>
  <c r="O842" i="1" s="1"/>
  <c r="M842" i="1"/>
  <c r="L842" i="1"/>
  <c r="J842" i="1"/>
  <c r="N841" i="1"/>
  <c r="O841" i="1" s="1"/>
  <c r="M841" i="1"/>
  <c r="L841" i="1"/>
  <c r="J841" i="1"/>
  <c r="M840" i="1"/>
  <c r="M839" i="1"/>
  <c r="J839" i="1"/>
  <c r="N838" i="1"/>
  <c r="O838" i="1" s="1"/>
  <c r="M838" i="1"/>
  <c r="L838" i="1"/>
  <c r="J838" i="1"/>
  <c r="K837" i="1"/>
  <c r="I837" i="1"/>
  <c r="F837" i="1"/>
  <c r="E837" i="1"/>
  <c r="D837" i="1"/>
  <c r="N836" i="1"/>
  <c r="M836" i="1"/>
  <c r="L836" i="1"/>
  <c r="J836" i="1"/>
  <c r="N835" i="1"/>
  <c r="M835" i="1"/>
  <c r="L835" i="1"/>
  <c r="J835" i="1"/>
  <c r="M834" i="1"/>
  <c r="M833" i="1"/>
  <c r="L833" i="1"/>
  <c r="N832" i="1"/>
  <c r="M832" i="1"/>
  <c r="L832" i="1"/>
  <c r="J832" i="1"/>
  <c r="K831" i="1"/>
  <c r="I831" i="1"/>
  <c r="F831" i="1"/>
  <c r="E831" i="1"/>
  <c r="D831" i="1"/>
  <c r="N830" i="1"/>
  <c r="M830" i="1"/>
  <c r="L830" i="1"/>
  <c r="J830" i="1"/>
  <c r="N829" i="1"/>
  <c r="M829" i="1"/>
  <c r="L829" i="1"/>
  <c r="J829" i="1"/>
  <c r="M828" i="1"/>
  <c r="M827" i="1"/>
  <c r="J827" i="1"/>
  <c r="N826" i="1"/>
  <c r="M826" i="1"/>
  <c r="L826" i="1"/>
  <c r="J826" i="1"/>
  <c r="K825" i="1"/>
  <c r="F825" i="1"/>
  <c r="E825" i="1"/>
  <c r="D825" i="1"/>
  <c r="N773" i="1"/>
  <c r="N772" i="1"/>
  <c r="I776" i="1"/>
  <c r="I775" i="1"/>
  <c r="I774" i="1"/>
  <c r="M774" i="1" s="1"/>
  <c r="I773" i="1"/>
  <c r="M773" i="1" s="1"/>
  <c r="I772" i="1"/>
  <c r="H776" i="1"/>
  <c r="H774" i="1"/>
  <c r="L774" i="1" s="1"/>
  <c r="L773" i="1"/>
  <c r="H772" i="1"/>
  <c r="H775" i="1"/>
  <c r="L775" i="1" s="1"/>
  <c r="G776" i="1"/>
  <c r="G775" i="1"/>
  <c r="G774" i="1"/>
  <c r="G773" i="1"/>
  <c r="G772" i="1"/>
  <c r="I378" i="1"/>
  <c r="J625" i="1"/>
  <c r="L893" i="1" l="1"/>
  <c r="P869" i="1"/>
  <c r="H821" i="1"/>
  <c r="H822" i="1"/>
  <c r="U880" i="1" s="1"/>
  <c r="P899" i="1"/>
  <c r="I819" i="1"/>
  <c r="L863" i="1"/>
  <c r="G821" i="1"/>
  <c r="G803" i="1" s="1"/>
  <c r="O840" i="1"/>
  <c r="G915" i="1"/>
  <c r="G837" i="1"/>
  <c r="G867" i="1"/>
  <c r="G897" i="1"/>
  <c r="N834" i="1"/>
  <c r="N831" i="1" s="1"/>
  <c r="O894" i="1"/>
  <c r="L840" i="1"/>
  <c r="P864" i="1"/>
  <c r="J775" i="1"/>
  <c r="Q597" i="1"/>
  <c r="L827" i="1"/>
  <c r="N828" i="1"/>
  <c r="J833" i="1"/>
  <c r="L839" i="1"/>
  <c r="O839" i="1"/>
  <c r="J845" i="1"/>
  <c r="L846" i="1"/>
  <c r="L857" i="1"/>
  <c r="O857" i="1"/>
  <c r="O858" i="1"/>
  <c r="J863" i="1"/>
  <c r="J869" i="1"/>
  <c r="J875" i="1"/>
  <c r="L881" i="1"/>
  <c r="O881" i="1"/>
  <c r="J887" i="1"/>
  <c r="H891" i="1"/>
  <c r="L891" i="1" s="1"/>
  <c r="J893" i="1"/>
  <c r="J899" i="1"/>
  <c r="L900" i="1"/>
  <c r="L905" i="1"/>
  <c r="N905" i="1"/>
  <c r="J911" i="1"/>
  <c r="L918" i="1"/>
  <c r="M597" i="1"/>
  <c r="R597" i="1"/>
  <c r="J828" i="1"/>
  <c r="H831" i="1"/>
  <c r="J834" i="1"/>
  <c r="H855" i="1"/>
  <c r="J858" i="1"/>
  <c r="J864" i="1"/>
  <c r="N870" i="1"/>
  <c r="P870" i="1" s="1"/>
  <c r="O876" i="1"/>
  <c r="H885" i="1"/>
  <c r="J885" i="1" s="1"/>
  <c r="L887" i="1"/>
  <c r="J894" i="1"/>
  <c r="L912" i="1"/>
  <c r="H915" i="1"/>
  <c r="J915" i="1" s="1"/>
  <c r="G825" i="1"/>
  <c r="G831" i="1"/>
  <c r="G843" i="1"/>
  <c r="G855" i="1"/>
  <c r="G861" i="1"/>
  <c r="G873" i="1"/>
  <c r="G891" i="1"/>
  <c r="G903" i="1"/>
  <c r="G909" i="1"/>
  <c r="H825" i="1"/>
  <c r="L825" i="1" s="1"/>
  <c r="L834" i="1"/>
  <c r="O846" i="1"/>
  <c r="H861" i="1"/>
  <c r="L861" i="1" s="1"/>
  <c r="L864" i="1"/>
  <c r="H867" i="1"/>
  <c r="L867" i="1" s="1"/>
  <c r="J870" i="1"/>
  <c r="J876" i="1"/>
  <c r="L894" i="1"/>
  <c r="N900" i="1"/>
  <c r="N906" i="1"/>
  <c r="H909" i="1"/>
  <c r="N918" i="1"/>
  <c r="H837" i="1"/>
  <c r="J840" i="1"/>
  <c r="H843" i="1"/>
  <c r="L843" i="1" s="1"/>
  <c r="L870" i="1"/>
  <c r="H873" i="1"/>
  <c r="L873" i="1" s="1"/>
  <c r="H897" i="1"/>
  <c r="J897" i="1" s="1"/>
  <c r="H903" i="1"/>
  <c r="L903" i="1" s="1"/>
  <c r="J906" i="1"/>
  <c r="G822" i="1"/>
  <c r="G804" i="1" s="1"/>
  <c r="J597" i="1"/>
  <c r="N597" i="1"/>
  <c r="P597" i="1" s="1"/>
  <c r="P602" i="1"/>
  <c r="L597" i="1"/>
  <c r="O597" i="1"/>
  <c r="P603" i="1"/>
  <c r="O603" i="1"/>
  <c r="N823" i="1"/>
  <c r="M867" i="1"/>
  <c r="O869" i="1"/>
  <c r="N885" i="1"/>
  <c r="N820" i="1"/>
  <c r="N824" i="1"/>
  <c r="P773" i="1"/>
  <c r="O871" i="1"/>
  <c r="L917" i="1"/>
  <c r="N917" i="1"/>
  <c r="P917" i="1" s="1"/>
  <c r="J917" i="1"/>
  <c r="N912" i="1"/>
  <c r="L879" i="1"/>
  <c r="O899" i="1"/>
  <c r="O907" i="1"/>
  <c r="O919" i="1"/>
  <c r="O886" i="1"/>
  <c r="O887" i="1"/>
  <c r="O888" i="1"/>
  <c r="O889" i="1"/>
  <c r="M825" i="1"/>
  <c r="P838" i="1"/>
  <c r="O868" i="1"/>
  <c r="M861" i="1"/>
  <c r="O911" i="1"/>
  <c r="M915" i="1"/>
  <c r="M909" i="1"/>
  <c r="M903" i="1"/>
  <c r="M897" i="1"/>
  <c r="P892" i="1"/>
  <c r="P893" i="1"/>
  <c r="M891" i="1"/>
  <c r="P886" i="1"/>
  <c r="P887" i="1"/>
  <c r="P888" i="1"/>
  <c r="P889" i="1"/>
  <c r="P890" i="1"/>
  <c r="M885" i="1"/>
  <c r="O845" i="1"/>
  <c r="O877" i="1"/>
  <c r="O847" i="1"/>
  <c r="O875" i="1"/>
  <c r="O880" i="1"/>
  <c r="O882" i="1"/>
  <c r="O883" i="1"/>
  <c r="O884" i="1"/>
  <c r="M879" i="1"/>
  <c r="P880" i="1"/>
  <c r="P882" i="1"/>
  <c r="P883" i="1"/>
  <c r="P884" i="1"/>
  <c r="J879" i="1"/>
  <c r="P877" i="1"/>
  <c r="P878" i="1"/>
  <c r="M873" i="1"/>
  <c r="O862" i="1"/>
  <c r="O863" i="1"/>
  <c r="O865" i="1"/>
  <c r="O866" i="1"/>
  <c r="P862" i="1"/>
  <c r="P863" i="1"/>
  <c r="P865" i="1"/>
  <c r="P866" i="1"/>
  <c r="P856" i="1"/>
  <c r="P859" i="1"/>
  <c r="P860" i="1"/>
  <c r="M855" i="1"/>
  <c r="M843" i="1"/>
  <c r="M837" i="1"/>
  <c r="M831" i="1"/>
  <c r="O832" i="1"/>
  <c r="O835" i="1"/>
  <c r="O836" i="1"/>
  <c r="P832" i="1"/>
  <c r="P833" i="1"/>
  <c r="P835" i="1"/>
  <c r="P836" i="1"/>
  <c r="O826" i="1"/>
  <c r="O829" i="1"/>
  <c r="O830" i="1"/>
  <c r="P826" i="1"/>
  <c r="P829" i="1"/>
  <c r="P830" i="1"/>
  <c r="H804" i="1" l="1"/>
  <c r="N821" i="1"/>
  <c r="N822" i="1"/>
  <c r="H803" i="1"/>
  <c r="U879" i="1"/>
  <c r="N909" i="1"/>
  <c r="P909" i="1" s="1"/>
  <c r="P912" i="1"/>
  <c r="O900" i="1"/>
  <c r="O897" i="1" s="1"/>
  <c r="P900" i="1"/>
  <c r="O905" i="1"/>
  <c r="P905" i="1"/>
  <c r="O918" i="1"/>
  <c r="P918" i="1"/>
  <c r="O906" i="1"/>
  <c r="P906" i="1"/>
  <c r="P840" i="1"/>
  <c r="O837" i="1"/>
  <c r="O864" i="1"/>
  <c r="O861" i="1" s="1"/>
  <c r="P894" i="1"/>
  <c r="N891" i="1"/>
  <c r="P891" i="1" s="1"/>
  <c r="O827" i="1"/>
  <c r="P828" i="1"/>
  <c r="O828" i="1"/>
  <c r="P834" i="1"/>
  <c r="N861" i="1"/>
  <c r="P861" i="1" s="1"/>
  <c r="O834" i="1"/>
  <c r="O831" i="1" s="1"/>
  <c r="P858" i="1"/>
  <c r="P885" i="1"/>
  <c r="N825" i="1"/>
  <c r="P825" i="1" s="1"/>
  <c r="L915" i="1"/>
  <c r="J909" i="1"/>
  <c r="J873" i="1"/>
  <c r="J867" i="1"/>
  <c r="P839" i="1"/>
  <c r="P827" i="1"/>
  <c r="O870" i="1"/>
  <c r="N879" i="1"/>
  <c r="P879" i="1" s="1"/>
  <c r="N837" i="1"/>
  <c r="P837" i="1" s="1"/>
  <c r="J891" i="1"/>
  <c r="J903" i="1"/>
  <c r="N855" i="1"/>
  <c r="P855" i="1" s="1"/>
  <c r="J831" i="1"/>
  <c r="J837" i="1"/>
  <c r="L837" i="1"/>
  <c r="J843" i="1"/>
  <c r="P857" i="1"/>
  <c r="J861" i="1"/>
  <c r="P881" i="1"/>
  <c r="N867" i="1"/>
  <c r="P867" i="1" s="1"/>
  <c r="L885" i="1"/>
  <c r="L909" i="1"/>
  <c r="N897" i="1"/>
  <c r="P897" i="1" s="1"/>
  <c r="L897" i="1"/>
  <c r="J855" i="1"/>
  <c r="L831" i="1"/>
  <c r="L855" i="1"/>
  <c r="O873" i="1"/>
  <c r="N843" i="1"/>
  <c r="P843" i="1" s="1"/>
  <c r="P831" i="1"/>
  <c r="N873" i="1"/>
  <c r="P873" i="1" s="1"/>
  <c r="J825" i="1"/>
  <c r="N903" i="1"/>
  <c r="P903" i="1" s="1"/>
  <c r="O843" i="1"/>
  <c r="O891" i="1"/>
  <c r="N915" i="1"/>
  <c r="P915" i="1" s="1"/>
  <c r="O917" i="1"/>
  <c r="O912" i="1"/>
  <c r="O855" i="1"/>
  <c r="O820" i="1"/>
  <c r="O823" i="1"/>
  <c r="O824" i="1"/>
  <c r="O885" i="1"/>
  <c r="O879" i="1"/>
  <c r="O825" i="1" l="1"/>
  <c r="O903" i="1"/>
  <c r="O915" i="1"/>
  <c r="O867" i="1"/>
  <c r="O821" i="1"/>
  <c r="O822" i="1"/>
  <c r="O909" i="1"/>
  <c r="R788" i="1"/>
  <c r="Q788" i="1"/>
  <c r="O788" i="1"/>
  <c r="R787" i="1"/>
  <c r="Q787" i="1"/>
  <c r="N787" i="1"/>
  <c r="R786" i="1"/>
  <c r="Q786" i="1"/>
  <c r="N786" i="1"/>
  <c r="P786" i="1" s="1"/>
  <c r="R785" i="1"/>
  <c r="Q785" i="1"/>
  <c r="O785" i="1"/>
  <c r="J785" i="1"/>
  <c r="R784" i="1"/>
  <c r="Q784" i="1"/>
  <c r="O784" i="1"/>
  <c r="J784" i="1"/>
  <c r="K783" i="1"/>
  <c r="I783" i="1"/>
  <c r="H783" i="1"/>
  <c r="G783" i="1"/>
  <c r="G304" i="1"/>
  <c r="M783" i="1" l="1"/>
  <c r="O786" i="1"/>
  <c r="L783" i="1"/>
  <c r="O787" i="1"/>
  <c r="N783" i="1"/>
  <c r="P783" i="1" s="1"/>
  <c r="Q783" i="1"/>
  <c r="J783" i="1"/>
  <c r="R783" i="1"/>
  <c r="O783" i="1" l="1"/>
  <c r="P966" i="1" l="1"/>
  <c r="M966" i="1"/>
  <c r="L966" i="1"/>
  <c r="J966" i="1"/>
  <c r="P965" i="1"/>
  <c r="M965" i="1"/>
  <c r="L965" i="1"/>
  <c r="J965" i="1"/>
  <c r="N964" i="1"/>
  <c r="M964" i="1"/>
  <c r="L964" i="1"/>
  <c r="J964" i="1"/>
  <c r="N963" i="1"/>
  <c r="M963" i="1"/>
  <c r="L963" i="1"/>
  <c r="J963" i="1"/>
  <c r="P962" i="1"/>
  <c r="M962" i="1"/>
  <c r="L962" i="1"/>
  <c r="J962" i="1"/>
  <c r="O961" i="1"/>
  <c r="K961" i="1"/>
  <c r="I961" i="1"/>
  <c r="H961" i="1"/>
  <c r="G961" i="1"/>
  <c r="F961" i="1"/>
  <c r="E961" i="1"/>
  <c r="D961" i="1"/>
  <c r="N961" i="1" l="1"/>
  <c r="P963" i="1"/>
  <c r="M961" i="1"/>
  <c r="J961" i="1"/>
  <c r="L961" i="1"/>
  <c r="P964" i="1"/>
  <c r="P961" i="1" l="1"/>
  <c r="G24" i="1"/>
  <c r="G18" i="1" s="1"/>
  <c r="G25" i="1"/>
  <c r="G19" i="1" s="1"/>
  <c r="G26" i="1"/>
  <c r="G20" i="1" s="1"/>
  <c r="G27" i="1"/>
  <c r="G21" i="1" s="1"/>
  <c r="G28" i="1"/>
  <c r="G22" i="1" s="1"/>
  <c r="G29" i="1"/>
  <c r="G17" i="1" l="1"/>
  <c r="G23" i="1"/>
  <c r="G193" i="1" l="1"/>
  <c r="D185" i="1" l="1"/>
  <c r="E185" i="1"/>
  <c r="F185" i="1"/>
  <c r="G185" i="1"/>
  <c r="H185" i="1"/>
  <c r="I185" i="1"/>
  <c r="K185" i="1"/>
  <c r="J186" i="1"/>
  <c r="L186" i="1"/>
  <c r="M186" i="1"/>
  <c r="O186" i="1"/>
  <c r="P186" i="1"/>
  <c r="J187" i="1"/>
  <c r="L187" i="1"/>
  <c r="M187" i="1"/>
  <c r="N187" i="1"/>
  <c r="N185" i="1" s="1"/>
  <c r="J188" i="1"/>
  <c r="L188" i="1"/>
  <c r="M188" i="1"/>
  <c r="O188" i="1"/>
  <c r="P188" i="1"/>
  <c r="J189" i="1"/>
  <c r="L189" i="1"/>
  <c r="M189" i="1"/>
  <c r="O189" i="1"/>
  <c r="P189" i="1"/>
  <c r="J190" i="1"/>
  <c r="L190" i="1"/>
  <c r="M190" i="1"/>
  <c r="O190" i="1"/>
  <c r="P190" i="1"/>
  <c r="J185" i="1" l="1"/>
  <c r="L185" i="1"/>
  <c r="P185" i="1"/>
  <c r="O185" i="1"/>
  <c r="M185" i="1"/>
  <c r="P187" i="1"/>
  <c r="O187" i="1"/>
  <c r="R374" i="1"/>
  <c r="Q374" i="1"/>
  <c r="P374" i="1"/>
  <c r="O374" i="1"/>
  <c r="R373" i="1"/>
  <c r="Q373" i="1"/>
  <c r="P373" i="1"/>
  <c r="O373" i="1"/>
  <c r="R372" i="1"/>
  <c r="Q372" i="1"/>
  <c r="P372" i="1"/>
  <c r="O372" i="1"/>
  <c r="M372" i="1"/>
  <c r="L372" i="1"/>
  <c r="J372" i="1"/>
  <c r="R371" i="1"/>
  <c r="Q371" i="1"/>
  <c r="N371" i="1"/>
  <c r="M371" i="1"/>
  <c r="L371" i="1"/>
  <c r="J371" i="1"/>
  <c r="R370" i="1"/>
  <c r="Q370" i="1"/>
  <c r="P370" i="1"/>
  <c r="O370" i="1"/>
  <c r="K369" i="1"/>
  <c r="I369" i="1"/>
  <c r="H369" i="1"/>
  <c r="G369" i="1"/>
  <c r="F369" i="1"/>
  <c r="E369" i="1"/>
  <c r="D369" i="1"/>
  <c r="K368" i="1"/>
  <c r="K302" i="1" s="1"/>
  <c r="I368" i="1"/>
  <c r="I302" i="1" s="1"/>
  <c r="H368" i="1"/>
  <c r="P368" i="1" s="1"/>
  <c r="G368" i="1"/>
  <c r="G302" i="1" s="1"/>
  <c r="K367" i="1"/>
  <c r="I367" i="1"/>
  <c r="H367" i="1"/>
  <c r="P367" i="1" s="1"/>
  <c r="G367" i="1"/>
  <c r="K366" i="1"/>
  <c r="I366" i="1"/>
  <c r="H366" i="1"/>
  <c r="P366" i="1" s="1"/>
  <c r="G366" i="1"/>
  <c r="G365" i="1"/>
  <c r="K364" i="1"/>
  <c r="I364" i="1"/>
  <c r="H364" i="1"/>
  <c r="P364" i="1" s="1"/>
  <c r="G364" i="1"/>
  <c r="F363" i="1"/>
  <c r="F329" i="1" s="1"/>
  <c r="E363" i="1"/>
  <c r="D363" i="1"/>
  <c r="R332" i="1"/>
  <c r="Q332" i="1"/>
  <c r="O332" i="1"/>
  <c r="R331" i="1"/>
  <c r="Q331" i="1"/>
  <c r="P331" i="1"/>
  <c r="O331" i="1"/>
  <c r="R330" i="1"/>
  <c r="Q330" i="1"/>
  <c r="P330" i="1"/>
  <c r="O330" i="1"/>
  <c r="R329" i="1"/>
  <c r="Q329" i="1"/>
  <c r="N329" i="1"/>
  <c r="N327" i="1" s="1"/>
  <c r="M329" i="1"/>
  <c r="L329" i="1"/>
  <c r="J329" i="1"/>
  <c r="R328" i="1"/>
  <c r="Q328" i="1"/>
  <c r="P328" i="1"/>
  <c r="O328" i="1"/>
  <c r="M328" i="1"/>
  <c r="K327" i="1"/>
  <c r="I327" i="1"/>
  <c r="H327" i="1"/>
  <c r="G327" i="1"/>
  <c r="E327" i="1"/>
  <c r="D327" i="1"/>
  <c r="N313" i="1"/>
  <c r="K313" i="1"/>
  <c r="K307" i="1" s="1"/>
  <c r="H313" i="1"/>
  <c r="H307" i="1" s="1"/>
  <c r="G307" i="1"/>
  <c r="N312" i="1"/>
  <c r="N306" i="1" s="1"/>
  <c r="K312" i="1"/>
  <c r="K306" i="1" s="1"/>
  <c r="G306" i="1"/>
  <c r="R323" i="1"/>
  <c r="Q323" i="1"/>
  <c r="N323" i="1"/>
  <c r="M323" i="1"/>
  <c r="L323" i="1"/>
  <c r="J323" i="1"/>
  <c r="N310" i="1"/>
  <c r="N304" i="1" s="1"/>
  <c r="K310" i="1"/>
  <c r="K304" i="1" s="1"/>
  <c r="E321" i="1"/>
  <c r="D321" i="1"/>
  <c r="R320" i="1"/>
  <c r="Q320" i="1"/>
  <c r="P320" i="1"/>
  <c r="O320" i="1"/>
  <c r="R319" i="1"/>
  <c r="Q319" i="1"/>
  <c r="P319" i="1"/>
  <c r="O319" i="1"/>
  <c r="R318" i="1"/>
  <c r="Q318" i="1"/>
  <c r="P318" i="1"/>
  <c r="O318" i="1"/>
  <c r="R317" i="1"/>
  <c r="Q317" i="1"/>
  <c r="N317" i="1"/>
  <c r="N315" i="1" s="1"/>
  <c r="M317" i="1"/>
  <c r="L317" i="1"/>
  <c r="J317" i="1"/>
  <c r="R316" i="1"/>
  <c r="Q316" i="1"/>
  <c r="P316" i="1"/>
  <c r="O316" i="1"/>
  <c r="K315" i="1"/>
  <c r="I315" i="1"/>
  <c r="H315" i="1"/>
  <c r="G315" i="1"/>
  <c r="E315" i="1"/>
  <c r="E309" i="1" s="1"/>
  <c r="D315" i="1"/>
  <c r="D309" i="1" s="1"/>
  <c r="K305" i="1"/>
  <c r="I305" i="1"/>
  <c r="H305" i="1"/>
  <c r="G305" i="1"/>
  <c r="R308" i="1"/>
  <c r="Q308" i="1"/>
  <c r="P308" i="1"/>
  <c r="F308" i="1"/>
  <c r="F302" i="1" s="1"/>
  <c r="E308" i="1"/>
  <c r="E302" i="1" s="1"/>
  <c r="D308" i="1"/>
  <c r="D302" i="1" s="1"/>
  <c r="F307" i="1"/>
  <c r="F301" i="1" s="1"/>
  <c r="E307" i="1"/>
  <c r="E301" i="1" s="1"/>
  <c r="D307" i="1"/>
  <c r="D301" i="1" s="1"/>
  <c r="F306" i="1"/>
  <c r="F300" i="1" s="1"/>
  <c r="E306" i="1"/>
  <c r="E300" i="1" s="1"/>
  <c r="D306" i="1"/>
  <c r="D300" i="1" s="1"/>
  <c r="E305" i="1"/>
  <c r="E299" i="1" s="1"/>
  <c r="D305" i="1"/>
  <c r="D299" i="1" s="1"/>
  <c r="F304" i="1"/>
  <c r="F298" i="1" s="1"/>
  <c r="E304" i="1"/>
  <c r="E298" i="1" s="1"/>
  <c r="D304" i="1"/>
  <c r="D298" i="1" s="1"/>
  <c r="L311" i="1" l="1"/>
  <c r="J311" i="1"/>
  <c r="N369" i="1"/>
  <c r="O369" i="1" s="1"/>
  <c r="N365" i="1"/>
  <c r="N307" i="1"/>
  <c r="N301" i="1" s="1"/>
  <c r="G299" i="1"/>
  <c r="G300" i="1"/>
  <c r="R322" i="1"/>
  <c r="K301" i="1"/>
  <c r="M311" i="1"/>
  <c r="O324" i="1"/>
  <c r="E297" i="1"/>
  <c r="K321" i="1"/>
  <c r="G301" i="1"/>
  <c r="I363" i="1"/>
  <c r="Q369" i="1"/>
  <c r="L305" i="1"/>
  <c r="L315" i="1"/>
  <c r="G363" i="1"/>
  <c r="Q365" i="1"/>
  <c r="P327" i="1"/>
  <c r="D297" i="1"/>
  <c r="Q305" i="1"/>
  <c r="H312" i="1"/>
  <c r="R326" i="1"/>
  <c r="M327" i="1"/>
  <c r="O329" i="1"/>
  <c r="K363" i="1"/>
  <c r="K299" i="1"/>
  <c r="Q327" i="1"/>
  <c r="H299" i="1"/>
  <c r="I310" i="1"/>
  <c r="D303" i="1"/>
  <c r="R315" i="1"/>
  <c r="P315" i="1"/>
  <c r="R325" i="1"/>
  <c r="H363" i="1"/>
  <c r="K309" i="1"/>
  <c r="K300" i="1"/>
  <c r="F327" i="1"/>
  <c r="F323" i="1" s="1"/>
  <c r="F321" i="1" s="1"/>
  <c r="F317" i="1" s="1"/>
  <c r="F315" i="1" s="1"/>
  <c r="F311" i="1" s="1"/>
  <c r="F309" i="1" s="1"/>
  <c r="F305" i="1"/>
  <c r="F299" i="1" s="1"/>
  <c r="F297" i="1" s="1"/>
  <c r="P324" i="1"/>
  <c r="G321" i="1"/>
  <c r="K298" i="1"/>
  <c r="H302" i="1"/>
  <c r="I313" i="1"/>
  <c r="I307" i="1" s="1"/>
  <c r="H321" i="1"/>
  <c r="Q326" i="1"/>
  <c r="O364" i="1"/>
  <c r="R366" i="1"/>
  <c r="Q367" i="1"/>
  <c r="R368" i="1"/>
  <c r="R302" i="1"/>
  <c r="Q364" i="1"/>
  <c r="L365" i="1"/>
  <c r="M369" i="1"/>
  <c r="R369" i="1"/>
  <c r="Q311" i="1"/>
  <c r="M315" i="1"/>
  <c r="O317" i="1"/>
  <c r="M322" i="1"/>
  <c r="R364" i="1"/>
  <c r="Q366" i="1"/>
  <c r="R367" i="1"/>
  <c r="Q368" i="1"/>
  <c r="J369" i="1"/>
  <c r="Q313" i="1"/>
  <c r="R324" i="1"/>
  <c r="I321" i="1"/>
  <c r="I312" i="1"/>
  <c r="I306" i="1" s="1"/>
  <c r="P322" i="1"/>
  <c r="N321" i="1"/>
  <c r="P326" i="1"/>
  <c r="P371" i="1"/>
  <c r="O371" i="1"/>
  <c r="R365" i="1"/>
  <c r="J365" i="1"/>
  <c r="E303" i="1"/>
  <c r="O315" i="1"/>
  <c r="J315" i="1"/>
  <c r="Q315" i="1"/>
  <c r="Q322" i="1"/>
  <c r="O322" i="1"/>
  <c r="O310" i="1" s="1"/>
  <c r="O304" i="1" s="1"/>
  <c r="H310" i="1"/>
  <c r="R327" i="1"/>
  <c r="J327" i="1"/>
  <c r="M365" i="1"/>
  <c r="R311" i="1"/>
  <c r="Q325" i="1"/>
  <c r="P325" i="1"/>
  <c r="O325" i="1"/>
  <c r="O313" i="1" s="1"/>
  <c r="O307" i="1" s="1"/>
  <c r="P313" i="1"/>
  <c r="P317" i="1"/>
  <c r="Q324" i="1"/>
  <c r="O326" i="1"/>
  <c r="P329" i="1"/>
  <c r="O323" i="1"/>
  <c r="O327" i="1"/>
  <c r="O366" i="1"/>
  <c r="O367" i="1"/>
  <c r="O368" i="1"/>
  <c r="L369" i="1"/>
  <c r="P323" i="1"/>
  <c r="L327" i="1"/>
  <c r="Q302" i="1" l="1"/>
  <c r="P369" i="1"/>
  <c r="R310" i="1"/>
  <c r="I304" i="1"/>
  <c r="I298" i="1" s="1"/>
  <c r="N305" i="1"/>
  <c r="N303" i="1" s="1"/>
  <c r="P312" i="1"/>
  <c r="H306" i="1"/>
  <c r="H300" i="1" s="1"/>
  <c r="H309" i="1"/>
  <c r="H304" i="1"/>
  <c r="N309" i="1"/>
  <c r="Q299" i="1"/>
  <c r="O298" i="1"/>
  <c r="O312" i="1"/>
  <c r="L321" i="1"/>
  <c r="J363" i="1"/>
  <c r="Q321" i="1"/>
  <c r="L363" i="1"/>
  <c r="P311" i="1"/>
  <c r="L299" i="1"/>
  <c r="M363" i="1"/>
  <c r="K297" i="1"/>
  <c r="R363" i="1"/>
  <c r="Q363" i="1"/>
  <c r="O302" i="1"/>
  <c r="Q312" i="1"/>
  <c r="O321" i="1"/>
  <c r="R313" i="1"/>
  <c r="G298" i="1"/>
  <c r="G303" i="1"/>
  <c r="N300" i="1"/>
  <c r="K303" i="1"/>
  <c r="F303" i="1"/>
  <c r="R305" i="1"/>
  <c r="J305" i="1"/>
  <c r="M305" i="1"/>
  <c r="I299" i="1"/>
  <c r="N298" i="1"/>
  <c r="Q307" i="1"/>
  <c r="P307" i="1"/>
  <c r="H301" i="1"/>
  <c r="P365" i="1"/>
  <c r="N363" i="1"/>
  <c r="P321" i="1"/>
  <c r="R312" i="1"/>
  <c r="R321" i="1"/>
  <c r="J321" i="1"/>
  <c r="I309" i="1"/>
  <c r="Q310" i="1"/>
  <c r="P310" i="1"/>
  <c r="O301" i="1"/>
  <c r="O365" i="1"/>
  <c r="M321" i="1"/>
  <c r="G297" i="1" l="1"/>
  <c r="P305" i="1"/>
  <c r="N299" i="1"/>
  <c r="R304" i="1"/>
  <c r="O306" i="1"/>
  <c r="O300" i="1" s="1"/>
  <c r="Q301" i="1"/>
  <c r="Q306" i="1"/>
  <c r="P309" i="1"/>
  <c r="P306" i="1"/>
  <c r="M298" i="1"/>
  <c r="R298" i="1"/>
  <c r="Q300" i="1"/>
  <c r="L300" i="1"/>
  <c r="I301" i="1"/>
  <c r="R307" i="1"/>
  <c r="R309" i="1"/>
  <c r="J309" i="1"/>
  <c r="M309" i="1"/>
  <c r="R306" i="1"/>
  <c r="I300" i="1"/>
  <c r="Q304" i="1"/>
  <c r="H303" i="1"/>
  <c r="P303" i="1" s="1"/>
  <c r="H298" i="1"/>
  <c r="Q309" i="1"/>
  <c r="L309" i="1"/>
  <c r="P363" i="1"/>
  <c r="O363" i="1"/>
  <c r="R299" i="1"/>
  <c r="J299" i="1"/>
  <c r="M299" i="1"/>
  <c r="I303" i="1"/>
  <c r="P304" i="1"/>
  <c r="O305" i="1"/>
  <c r="P299" i="1" l="1"/>
  <c r="N297" i="1"/>
  <c r="R301" i="1"/>
  <c r="J300" i="1"/>
  <c r="R300" i="1"/>
  <c r="M300" i="1"/>
  <c r="O299" i="1"/>
  <c r="I297" i="1"/>
  <c r="Q298" i="1"/>
  <c r="H297" i="1"/>
  <c r="P297" i="1" s="1"/>
  <c r="J298" i="1"/>
  <c r="L298" i="1"/>
  <c r="P298" i="1"/>
  <c r="Q303" i="1"/>
  <c r="O303" i="1"/>
  <c r="L303" i="1"/>
  <c r="R303" i="1"/>
  <c r="J303" i="1"/>
  <c r="M303" i="1"/>
  <c r="Q297" i="1" l="1"/>
  <c r="O297" i="1"/>
  <c r="L297" i="1"/>
  <c r="R297" i="1"/>
  <c r="J297" i="1"/>
  <c r="M297" i="1"/>
  <c r="N234" i="1" l="1"/>
  <c r="N233" i="1"/>
  <c r="K218" i="1"/>
  <c r="P257" i="1"/>
  <c r="O260" i="1"/>
  <c r="F260" i="1"/>
  <c r="E260" i="1"/>
  <c r="D260" i="1"/>
  <c r="O259" i="1"/>
  <c r="F259" i="1"/>
  <c r="E259" i="1"/>
  <c r="D259" i="1"/>
  <c r="O258" i="1"/>
  <c r="P258" i="1"/>
  <c r="F258" i="1"/>
  <c r="E258" i="1"/>
  <c r="D258" i="1"/>
  <c r="M257" i="1"/>
  <c r="L257" i="1"/>
  <c r="J257" i="1"/>
  <c r="F257" i="1"/>
  <c r="E257" i="1"/>
  <c r="D257" i="1"/>
  <c r="F256" i="1"/>
  <c r="E256" i="1"/>
  <c r="D256" i="1"/>
  <c r="K255" i="1"/>
  <c r="N226" i="1"/>
  <c r="N175" i="1"/>
  <c r="N181" i="1"/>
  <c r="E255" i="1" l="1"/>
  <c r="D255" i="1"/>
  <c r="F255" i="1"/>
  <c r="N255" i="1"/>
  <c r="O257" i="1"/>
  <c r="N176" i="1"/>
  <c r="N158" i="1" s="1"/>
  <c r="H134" i="1" l="1"/>
  <c r="L134" i="1" s="1"/>
  <c r="G134" i="1"/>
  <c r="G131" i="1" s="1"/>
  <c r="P136" i="1"/>
  <c r="O136" i="1"/>
  <c r="M136" i="1"/>
  <c r="L136" i="1"/>
  <c r="J136" i="1"/>
  <c r="P135" i="1"/>
  <c r="O135" i="1"/>
  <c r="M135" i="1"/>
  <c r="L135" i="1"/>
  <c r="J135" i="1"/>
  <c r="M134" i="1"/>
  <c r="P132" i="1"/>
  <c r="O132" i="1"/>
  <c r="M132" i="1"/>
  <c r="L132" i="1"/>
  <c r="J132" i="1"/>
  <c r="K131" i="1"/>
  <c r="I131" i="1"/>
  <c r="F131" i="1"/>
  <c r="E131" i="1"/>
  <c r="D131" i="1"/>
  <c r="N85" i="1"/>
  <c r="J79" i="1"/>
  <c r="J80" i="1"/>
  <c r="L79" i="1"/>
  <c r="L80" i="1"/>
  <c r="N79" i="1"/>
  <c r="J134" i="1" l="1"/>
  <c r="N134" i="1"/>
  <c r="H131" i="1"/>
  <c r="J131" i="1" s="1"/>
  <c r="M131" i="1"/>
  <c r="L131" i="1" l="1"/>
  <c r="P134" i="1"/>
  <c r="N131" i="1"/>
  <c r="P131" i="1" s="1"/>
  <c r="O134" i="1"/>
  <c r="O131" i="1" l="1"/>
  <c r="N49" i="1"/>
  <c r="N816" i="1"/>
  <c r="N810" i="1" s="1"/>
  <c r="N817" i="1"/>
  <c r="N811" i="1" s="1"/>
  <c r="N815" i="1"/>
  <c r="N809" i="1" s="1"/>
  <c r="N812" i="1"/>
  <c r="N808" i="1"/>
  <c r="K812" i="1"/>
  <c r="K811" i="1"/>
  <c r="K810" i="1"/>
  <c r="K809" i="1"/>
  <c r="K808" i="1"/>
  <c r="I809" i="1"/>
  <c r="I810" i="1"/>
  <c r="I811" i="1"/>
  <c r="G812" i="1"/>
  <c r="H812" i="1"/>
  <c r="I812" i="1"/>
  <c r="H808" i="1"/>
  <c r="I808" i="1"/>
  <c r="G808" i="1"/>
  <c r="N458" i="1"/>
  <c r="N457" i="1"/>
  <c r="K458" i="1"/>
  <c r="K457" i="1"/>
  <c r="K456" i="1"/>
  <c r="K455" i="1"/>
  <c r="K454" i="1"/>
  <c r="G455" i="1"/>
  <c r="H455" i="1"/>
  <c r="I455" i="1"/>
  <c r="G456" i="1"/>
  <c r="H456" i="1"/>
  <c r="I456" i="1"/>
  <c r="G457" i="1"/>
  <c r="H457" i="1"/>
  <c r="I457" i="1"/>
  <c r="G458" i="1"/>
  <c r="H458" i="1"/>
  <c r="I458" i="1"/>
  <c r="H454" i="1"/>
  <c r="I454" i="1"/>
  <c r="G454" i="1"/>
  <c r="P488" i="1"/>
  <c r="O488" i="1"/>
  <c r="M488" i="1"/>
  <c r="L488" i="1"/>
  <c r="J488" i="1"/>
  <c r="P487" i="1"/>
  <c r="O487" i="1"/>
  <c r="M487" i="1"/>
  <c r="L487" i="1"/>
  <c r="J487" i="1"/>
  <c r="N486" i="1"/>
  <c r="O486" i="1" s="1"/>
  <c r="M486" i="1"/>
  <c r="L486" i="1"/>
  <c r="J486" i="1"/>
  <c r="N485" i="1"/>
  <c r="O485" i="1" s="1"/>
  <c r="M485" i="1"/>
  <c r="L485" i="1"/>
  <c r="J485" i="1"/>
  <c r="F485" i="1"/>
  <c r="F483" i="1" s="1"/>
  <c r="N484" i="1"/>
  <c r="M484" i="1"/>
  <c r="L484" i="1"/>
  <c r="J484" i="1"/>
  <c r="K483" i="1"/>
  <c r="I483" i="1"/>
  <c r="H483" i="1"/>
  <c r="G483" i="1"/>
  <c r="E483" i="1"/>
  <c r="D483" i="1"/>
  <c r="N440" i="1"/>
  <c r="N422" i="1" s="1"/>
  <c r="N436" i="1"/>
  <c r="N418" i="1" s="1"/>
  <c r="K440" i="1"/>
  <c r="K422" i="1" s="1"/>
  <c r="K439" i="1"/>
  <c r="K421" i="1" s="1"/>
  <c r="K438" i="1"/>
  <c r="K420" i="1" s="1"/>
  <c r="K437" i="1"/>
  <c r="K419" i="1" s="1"/>
  <c r="K436" i="1"/>
  <c r="K418" i="1" s="1"/>
  <c r="H437" i="1"/>
  <c r="I437" i="1"/>
  <c r="I419" i="1" s="1"/>
  <c r="G438" i="1"/>
  <c r="G420" i="1" s="1"/>
  <c r="H438" i="1"/>
  <c r="I438" i="1"/>
  <c r="I420" i="1" s="1"/>
  <c r="G439" i="1"/>
  <c r="G421" i="1" s="1"/>
  <c r="H439" i="1"/>
  <c r="I439" i="1"/>
  <c r="I421" i="1" s="1"/>
  <c r="G440" i="1"/>
  <c r="G422" i="1" s="1"/>
  <c r="H440" i="1"/>
  <c r="I440" i="1"/>
  <c r="I422" i="1" s="1"/>
  <c r="H436" i="1"/>
  <c r="I436" i="1"/>
  <c r="I418" i="1" s="1"/>
  <c r="G436" i="1"/>
  <c r="G418" i="1" s="1"/>
  <c r="M812" i="1" l="1"/>
  <c r="M811" i="1"/>
  <c r="H419" i="1"/>
  <c r="M809" i="1"/>
  <c r="H422" i="1"/>
  <c r="H418" i="1"/>
  <c r="M810" i="1"/>
  <c r="H420" i="1"/>
  <c r="H421" i="1"/>
  <c r="N483" i="1"/>
  <c r="O483" i="1" s="1"/>
  <c r="M483" i="1"/>
  <c r="J483" i="1"/>
  <c r="L483" i="1"/>
  <c r="P484" i="1"/>
  <c r="O484" i="1"/>
  <c r="P485" i="1"/>
  <c r="P486" i="1"/>
  <c r="N462" i="1"/>
  <c r="N461" i="1"/>
  <c r="N478" i="1"/>
  <c r="N444" i="1"/>
  <c r="N438" i="1" s="1"/>
  <c r="N445" i="1"/>
  <c r="N439" i="1" s="1"/>
  <c r="N421" i="1" s="1"/>
  <c r="N443" i="1"/>
  <c r="N437" i="1" s="1"/>
  <c r="N432" i="1"/>
  <c r="N431" i="1"/>
  <c r="N426" i="1"/>
  <c r="N425" i="1"/>
  <c r="N288" i="1"/>
  <c r="N289" i="1"/>
  <c r="N287" i="1"/>
  <c r="N281" i="1" s="1"/>
  <c r="N275" i="1" s="1"/>
  <c r="N420" i="1" l="1"/>
  <c r="N419" i="1"/>
  <c r="P483" i="1"/>
  <c r="R596" i="1"/>
  <c r="Q596" i="1"/>
  <c r="N596" i="1"/>
  <c r="O596" i="1" s="1"/>
  <c r="R595" i="1"/>
  <c r="Q595" i="1"/>
  <c r="P595" i="1"/>
  <c r="O595" i="1"/>
  <c r="R594" i="1"/>
  <c r="Q594" i="1"/>
  <c r="N594" i="1"/>
  <c r="M594" i="1"/>
  <c r="L594" i="1"/>
  <c r="J594" i="1"/>
  <c r="R593" i="1"/>
  <c r="Q593" i="1"/>
  <c r="P593" i="1"/>
  <c r="O593" i="1"/>
  <c r="R592" i="1"/>
  <c r="Q592" i="1"/>
  <c r="P592" i="1"/>
  <c r="O592" i="1"/>
  <c r="K591" i="1"/>
  <c r="I591" i="1"/>
  <c r="H591" i="1"/>
  <c r="G591" i="1"/>
  <c r="F591" i="1"/>
  <c r="E591" i="1"/>
  <c r="D591" i="1"/>
  <c r="R590" i="1"/>
  <c r="Q590" i="1"/>
  <c r="N590" i="1"/>
  <c r="O590" i="1" s="1"/>
  <c r="M590" i="1"/>
  <c r="L590" i="1"/>
  <c r="J590" i="1"/>
  <c r="R589" i="1"/>
  <c r="Q589" i="1"/>
  <c r="P589" i="1"/>
  <c r="O589" i="1"/>
  <c r="R588" i="1"/>
  <c r="Q588" i="1"/>
  <c r="P588" i="1"/>
  <c r="O588" i="1"/>
  <c r="R587" i="1"/>
  <c r="Q587" i="1"/>
  <c r="P587" i="1"/>
  <c r="O587" i="1"/>
  <c r="R586" i="1"/>
  <c r="Q586" i="1"/>
  <c r="P586" i="1"/>
  <c r="O586" i="1"/>
  <c r="K585" i="1"/>
  <c r="I585" i="1"/>
  <c r="H585" i="1"/>
  <c r="G585" i="1"/>
  <c r="F585" i="1"/>
  <c r="E585" i="1"/>
  <c r="D585" i="1"/>
  <c r="N584" i="1"/>
  <c r="K584" i="1"/>
  <c r="L584" i="1" s="1"/>
  <c r="R583" i="1"/>
  <c r="Q583" i="1"/>
  <c r="P583" i="1"/>
  <c r="O583" i="1"/>
  <c r="R582" i="1"/>
  <c r="Q582" i="1"/>
  <c r="P582" i="1"/>
  <c r="O582" i="1"/>
  <c r="R581" i="1"/>
  <c r="Q581" i="1"/>
  <c r="P581" i="1"/>
  <c r="O581" i="1"/>
  <c r="R580" i="1"/>
  <c r="Q580" i="1"/>
  <c r="P580" i="1"/>
  <c r="O580" i="1"/>
  <c r="I579" i="1"/>
  <c r="H579" i="1"/>
  <c r="G579" i="1"/>
  <c r="F579" i="1"/>
  <c r="E579" i="1"/>
  <c r="D579" i="1"/>
  <c r="N578" i="1"/>
  <c r="O578" i="1" s="1"/>
  <c r="K578" i="1"/>
  <c r="J578" i="1"/>
  <c r="R577" i="1"/>
  <c r="Q577" i="1"/>
  <c r="P577" i="1"/>
  <c r="O577" i="1"/>
  <c r="R576" i="1"/>
  <c r="Q576" i="1"/>
  <c r="P576" i="1"/>
  <c r="O576" i="1"/>
  <c r="R575" i="1"/>
  <c r="Q575" i="1"/>
  <c r="P575" i="1"/>
  <c r="O575" i="1"/>
  <c r="R574" i="1"/>
  <c r="Q574" i="1"/>
  <c r="P574" i="1"/>
  <c r="O574" i="1"/>
  <c r="I573" i="1"/>
  <c r="H573" i="1"/>
  <c r="G573" i="1"/>
  <c r="F573" i="1"/>
  <c r="E573" i="1"/>
  <c r="D573" i="1"/>
  <c r="N572" i="1"/>
  <c r="P572" i="1" s="1"/>
  <c r="K572" i="1"/>
  <c r="K567" i="1" s="1"/>
  <c r="J572" i="1"/>
  <c r="R571" i="1"/>
  <c r="Q571" i="1"/>
  <c r="P571" i="1"/>
  <c r="O571" i="1"/>
  <c r="R570" i="1"/>
  <c r="Q570" i="1"/>
  <c r="P570" i="1"/>
  <c r="O570" i="1"/>
  <c r="R569" i="1"/>
  <c r="Q569" i="1"/>
  <c r="P569" i="1"/>
  <c r="O569" i="1"/>
  <c r="R568" i="1"/>
  <c r="Q568" i="1"/>
  <c r="P568" i="1"/>
  <c r="O568" i="1"/>
  <c r="I567" i="1"/>
  <c r="H567" i="1"/>
  <c r="G567" i="1"/>
  <c r="F567" i="1"/>
  <c r="E567" i="1"/>
  <c r="D567" i="1"/>
  <c r="R566" i="1"/>
  <c r="Q566" i="1"/>
  <c r="P566" i="1"/>
  <c r="O566" i="1"/>
  <c r="R565" i="1"/>
  <c r="Q565" i="1"/>
  <c r="P565" i="1"/>
  <c r="O565" i="1"/>
  <c r="O564" i="1"/>
  <c r="K564" i="1"/>
  <c r="J564" i="1"/>
  <c r="R563" i="1"/>
  <c r="Q563" i="1"/>
  <c r="P563" i="1"/>
  <c r="O563" i="1"/>
  <c r="M563" i="1"/>
  <c r="L563" i="1"/>
  <c r="J563" i="1"/>
  <c r="R562" i="1"/>
  <c r="Q562" i="1"/>
  <c r="P562" i="1"/>
  <c r="O562" i="1"/>
  <c r="I561" i="1"/>
  <c r="H561" i="1"/>
  <c r="G561" i="1"/>
  <c r="F561" i="1"/>
  <c r="E561" i="1"/>
  <c r="D561" i="1"/>
  <c r="R560" i="1"/>
  <c r="Q560" i="1"/>
  <c r="P560" i="1"/>
  <c r="O560" i="1"/>
  <c r="R559" i="1"/>
  <c r="Q559" i="1"/>
  <c r="P559" i="1"/>
  <c r="O559" i="1"/>
  <c r="O558" i="1"/>
  <c r="K558" i="1"/>
  <c r="J558" i="1"/>
  <c r="R557" i="1"/>
  <c r="Q557" i="1"/>
  <c r="P557" i="1"/>
  <c r="O557" i="1"/>
  <c r="R556" i="1"/>
  <c r="Q556" i="1"/>
  <c r="P556" i="1"/>
  <c r="O556" i="1"/>
  <c r="I555" i="1"/>
  <c r="H555" i="1"/>
  <c r="G555" i="1"/>
  <c r="F555" i="1"/>
  <c r="E555" i="1"/>
  <c r="D555" i="1"/>
  <c r="R554" i="1"/>
  <c r="Q554" i="1"/>
  <c r="N554" i="1"/>
  <c r="O554" i="1" s="1"/>
  <c r="R553" i="1"/>
  <c r="Q553" i="1"/>
  <c r="N553" i="1"/>
  <c r="O553" i="1" s="1"/>
  <c r="R552" i="1"/>
  <c r="Q552" i="1"/>
  <c r="O552" i="1"/>
  <c r="M552" i="1"/>
  <c r="L552" i="1"/>
  <c r="J552" i="1"/>
  <c r="R551" i="1"/>
  <c r="Q551" i="1"/>
  <c r="P551" i="1"/>
  <c r="O551" i="1"/>
  <c r="R550" i="1"/>
  <c r="Q550" i="1"/>
  <c r="P550" i="1"/>
  <c r="O550" i="1"/>
  <c r="K549" i="1"/>
  <c r="I549" i="1"/>
  <c r="H549" i="1"/>
  <c r="G549" i="1"/>
  <c r="F549" i="1"/>
  <c r="E549" i="1"/>
  <c r="D549" i="1"/>
  <c r="I548" i="1"/>
  <c r="H548" i="1"/>
  <c r="G548" i="1"/>
  <c r="K547" i="1"/>
  <c r="I547" i="1"/>
  <c r="H547" i="1"/>
  <c r="G547" i="1"/>
  <c r="I546" i="1"/>
  <c r="H546" i="1"/>
  <c r="G546" i="1"/>
  <c r="N545" i="1"/>
  <c r="K545" i="1"/>
  <c r="I545" i="1"/>
  <c r="G545" i="1"/>
  <c r="N544" i="1"/>
  <c r="K544" i="1"/>
  <c r="I544" i="1"/>
  <c r="H544" i="1"/>
  <c r="G544" i="1"/>
  <c r="F543" i="1"/>
  <c r="E543" i="1"/>
  <c r="D543" i="1"/>
  <c r="R536" i="1"/>
  <c r="Q536" i="1"/>
  <c r="P536" i="1"/>
  <c r="O536" i="1"/>
  <c r="R535" i="1"/>
  <c r="Q535" i="1"/>
  <c r="P535" i="1"/>
  <c r="O535" i="1"/>
  <c r="R534" i="1"/>
  <c r="Q534" i="1"/>
  <c r="P534" i="1"/>
  <c r="O534" i="1"/>
  <c r="R533" i="1"/>
  <c r="Q533" i="1"/>
  <c r="N533" i="1"/>
  <c r="M533" i="1"/>
  <c r="L533" i="1"/>
  <c r="J533" i="1"/>
  <c r="R532" i="1"/>
  <c r="Q532" i="1"/>
  <c r="P532" i="1"/>
  <c r="O532" i="1"/>
  <c r="K531" i="1"/>
  <c r="I531" i="1"/>
  <c r="H531" i="1"/>
  <c r="G531" i="1"/>
  <c r="F531" i="1"/>
  <c r="E531" i="1"/>
  <c r="D531" i="1"/>
  <c r="N530" i="1"/>
  <c r="K530" i="1"/>
  <c r="I530" i="1"/>
  <c r="H530" i="1"/>
  <c r="G530" i="1"/>
  <c r="N529" i="1"/>
  <c r="K529" i="1"/>
  <c r="I529" i="1"/>
  <c r="H529" i="1"/>
  <c r="G529" i="1"/>
  <c r="N528" i="1"/>
  <c r="K528" i="1"/>
  <c r="I528" i="1"/>
  <c r="H528" i="1"/>
  <c r="G528" i="1"/>
  <c r="K527" i="1"/>
  <c r="I527" i="1"/>
  <c r="N526" i="1"/>
  <c r="K526" i="1"/>
  <c r="I526" i="1"/>
  <c r="H526" i="1"/>
  <c r="G526" i="1"/>
  <c r="F525" i="1"/>
  <c r="E525" i="1"/>
  <c r="D525" i="1"/>
  <c r="R524" i="1"/>
  <c r="Q524" i="1"/>
  <c r="P524" i="1"/>
  <c r="O524" i="1"/>
  <c r="R523" i="1"/>
  <c r="Q523" i="1"/>
  <c r="P523" i="1"/>
  <c r="O523" i="1"/>
  <c r="N522" i="1"/>
  <c r="P522" i="1" s="1"/>
  <c r="K522" i="1"/>
  <c r="J522" i="1"/>
  <c r="N521" i="1"/>
  <c r="P521" i="1" s="1"/>
  <c r="K521" i="1"/>
  <c r="K515" i="1" s="1"/>
  <c r="J521" i="1"/>
  <c r="R520" i="1"/>
  <c r="Q520" i="1"/>
  <c r="P520" i="1"/>
  <c r="O520" i="1"/>
  <c r="I519" i="1"/>
  <c r="G519" i="1"/>
  <c r="F519" i="1"/>
  <c r="E519" i="1"/>
  <c r="D519" i="1"/>
  <c r="N518" i="1"/>
  <c r="I518" i="1"/>
  <c r="R518" i="1" s="1"/>
  <c r="H518" i="1"/>
  <c r="Q518" i="1" s="1"/>
  <c r="G518" i="1"/>
  <c r="N517" i="1"/>
  <c r="I517" i="1"/>
  <c r="R517" i="1" s="1"/>
  <c r="H517" i="1"/>
  <c r="Q517" i="1" s="1"/>
  <c r="G517" i="1"/>
  <c r="I516" i="1"/>
  <c r="H516" i="1"/>
  <c r="G516" i="1"/>
  <c r="I515" i="1"/>
  <c r="H515" i="1"/>
  <c r="G515" i="1"/>
  <c r="N514" i="1"/>
  <c r="I514" i="1"/>
  <c r="R514" i="1" s="1"/>
  <c r="H514" i="1"/>
  <c r="Q514" i="1" s="1"/>
  <c r="G514" i="1"/>
  <c r="F513" i="1"/>
  <c r="E513" i="1"/>
  <c r="D513" i="1"/>
  <c r="R512" i="1"/>
  <c r="Q512" i="1"/>
  <c r="N512" i="1"/>
  <c r="P512" i="1" s="1"/>
  <c r="P506" i="1" s="1"/>
  <c r="R511" i="1"/>
  <c r="Q511" i="1"/>
  <c r="N511" i="1"/>
  <c r="P511" i="1" s="1"/>
  <c r="P505" i="1" s="1"/>
  <c r="N510" i="1"/>
  <c r="K510" i="1"/>
  <c r="R510" i="1" s="1"/>
  <c r="J510" i="1"/>
  <c r="N509" i="1"/>
  <c r="N503" i="1" s="1"/>
  <c r="K509" i="1"/>
  <c r="J509" i="1"/>
  <c r="R508" i="1"/>
  <c r="Q508" i="1"/>
  <c r="P508" i="1"/>
  <c r="P502" i="1" s="1"/>
  <c r="O508" i="1"/>
  <c r="I507" i="1"/>
  <c r="H507" i="1"/>
  <c r="G507" i="1"/>
  <c r="F507" i="1"/>
  <c r="E507" i="1"/>
  <c r="D507" i="1"/>
  <c r="I506" i="1"/>
  <c r="I505" i="1"/>
  <c r="R505" i="1" s="1"/>
  <c r="H505" i="1"/>
  <c r="G505" i="1"/>
  <c r="G499" i="1" s="1"/>
  <c r="I504" i="1"/>
  <c r="I498" i="1" s="1"/>
  <c r="H504" i="1"/>
  <c r="G504" i="1"/>
  <c r="G498" i="1" s="1"/>
  <c r="I503" i="1"/>
  <c r="H503" i="1"/>
  <c r="G503" i="1"/>
  <c r="G497" i="1" s="1"/>
  <c r="N502" i="1"/>
  <c r="I502" i="1"/>
  <c r="R502" i="1" s="1"/>
  <c r="H502" i="1"/>
  <c r="G502" i="1"/>
  <c r="G496" i="1" s="1"/>
  <c r="F501" i="1"/>
  <c r="E501" i="1"/>
  <c r="D501" i="1"/>
  <c r="K500" i="1"/>
  <c r="F495" i="1"/>
  <c r="E495" i="1"/>
  <c r="D495" i="1"/>
  <c r="F489" i="1"/>
  <c r="E489" i="1"/>
  <c r="D489" i="1"/>
  <c r="N527" i="1" l="1"/>
  <c r="N525" i="1" s="1"/>
  <c r="O533" i="1"/>
  <c r="K490" i="1"/>
  <c r="G494" i="1"/>
  <c r="J579" i="1"/>
  <c r="I492" i="1"/>
  <c r="K493" i="1"/>
  <c r="G490" i="1"/>
  <c r="G491" i="1"/>
  <c r="G493" i="1"/>
  <c r="G492" i="1"/>
  <c r="N531" i="1"/>
  <c r="O531" i="1" s="1"/>
  <c r="Q544" i="1"/>
  <c r="N561" i="1"/>
  <c r="P561" i="1" s="1"/>
  <c r="Q549" i="1"/>
  <c r="K579" i="1"/>
  <c r="M579" i="1" s="1"/>
  <c r="N555" i="1"/>
  <c r="P555" i="1" s="1"/>
  <c r="N585" i="1"/>
  <c r="O585" i="1" s="1"/>
  <c r="I496" i="1"/>
  <c r="I490" i="1" s="1"/>
  <c r="I499" i="1"/>
  <c r="I493" i="1" s="1"/>
  <c r="Q506" i="1"/>
  <c r="K504" i="1"/>
  <c r="K498" i="1" s="1"/>
  <c r="Q505" i="1"/>
  <c r="N500" i="1"/>
  <c r="M510" i="1"/>
  <c r="O512" i="1"/>
  <c r="O506" i="1" s="1"/>
  <c r="O500" i="1" s="1"/>
  <c r="N547" i="1"/>
  <c r="P547" i="1" s="1"/>
  <c r="P518" i="1"/>
  <c r="O526" i="1"/>
  <c r="J504" i="1"/>
  <c r="O530" i="1"/>
  <c r="P554" i="1"/>
  <c r="P558" i="1"/>
  <c r="L549" i="1"/>
  <c r="I501" i="1"/>
  <c r="R515" i="1"/>
  <c r="R530" i="1"/>
  <c r="G543" i="1"/>
  <c r="Q547" i="1"/>
  <c r="J567" i="1"/>
  <c r="N567" i="1"/>
  <c r="P567" i="1" s="1"/>
  <c r="N573" i="1"/>
  <c r="O573" i="1" s="1"/>
  <c r="P578" i="1"/>
  <c r="O544" i="1"/>
  <c r="M584" i="1"/>
  <c r="M585" i="1"/>
  <c r="J591" i="1"/>
  <c r="I513" i="1"/>
  <c r="L515" i="1"/>
  <c r="N516" i="1"/>
  <c r="P516" i="1" s="1"/>
  <c r="N519" i="1"/>
  <c r="P519" i="1" s="1"/>
  <c r="R526" i="1"/>
  <c r="R528" i="1"/>
  <c r="M549" i="1"/>
  <c r="P564" i="1"/>
  <c r="R584" i="1"/>
  <c r="P590" i="1"/>
  <c r="N591" i="1"/>
  <c r="O591" i="1" s="1"/>
  <c r="G501" i="1"/>
  <c r="J503" i="1"/>
  <c r="O522" i="1"/>
  <c r="P596" i="1"/>
  <c r="Q528" i="1"/>
  <c r="O528" i="1"/>
  <c r="R544" i="1"/>
  <c r="P553" i="1"/>
  <c r="Q584" i="1"/>
  <c r="G495" i="1"/>
  <c r="L509" i="1"/>
  <c r="R509" i="1"/>
  <c r="K507" i="1"/>
  <c r="Q507" i="1" s="1"/>
  <c r="K503" i="1"/>
  <c r="G513" i="1"/>
  <c r="P517" i="1"/>
  <c r="O521" i="1"/>
  <c r="N515" i="1"/>
  <c r="P515" i="1" s="1"/>
  <c r="R529" i="1"/>
  <c r="L591" i="1"/>
  <c r="M591" i="1"/>
  <c r="R591" i="1"/>
  <c r="O529" i="1"/>
  <c r="H525" i="1"/>
  <c r="Q585" i="1"/>
  <c r="Q591" i="1"/>
  <c r="Q545" i="1"/>
  <c r="P552" i="1"/>
  <c r="N549" i="1"/>
  <c r="O549" i="1" s="1"/>
  <c r="N504" i="1"/>
  <c r="N498" i="1" s="1"/>
  <c r="I497" i="1"/>
  <c r="I491" i="1" s="1"/>
  <c r="Q502" i="1"/>
  <c r="H501" i="1"/>
  <c r="N505" i="1"/>
  <c r="N499" i="1" s="1"/>
  <c r="R506" i="1"/>
  <c r="I500" i="1"/>
  <c r="O510" i="1"/>
  <c r="R521" i="1"/>
  <c r="M521" i="1"/>
  <c r="Q521" i="1"/>
  <c r="L521" i="1"/>
  <c r="I525" i="1"/>
  <c r="R531" i="1"/>
  <c r="J531" i="1"/>
  <c r="R578" i="1"/>
  <c r="K573" i="1"/>
  <c r="Q573" i="1" s="1"/>
  <c r="L578" i="1"/>
  <c r="Q578" i="1"/>
  <c r="M578" i="1"/>
  <c r="L585" i="1"/>
  <c r="Q510" i="1"/>
  <c r="Q529" i="1"/>
  <c r="Q530" i="1"/>
  <c r="R545" i="1"/>
  <c r="O572" i="1"/>
  <c r="N579" i="1"/>
  <c r="O584" i="1"/>
  <c r="Q515" i="1"/>
  <c r="R547" i="1"/>
  <c r="N548" i="1"/>
  <c r="P548" i="1" s="1"/>
  <c r="P584" i="1"/>
  <c r="O517" i="1"/>
  <c r="J561" i="1"/>
  <c r="O502" i="1"/>
  <c r="Q527" i="1"/>
  <c r="N496" i="1"/>
  <c r="N490" i="1" s="1"/>
  <c r="P514" i="1"/>
  <c r="Q522" i="1"/>
  <c r="M522" i="1"/>
  <c r="K519" i="1"/>
  <c r="L522" i="1"/>
  <c r="R522" i="1"/>
  <c r="K516" i="1"/>
  <c r="R516" i="1" s="1"/>
  <c r="Q526" i="1"/>
  <c r="P526" i="1"/>
  <c r="R527" i="1"/>
  <c r="M528" i="1"/>
  <c r="L528" i="1"/>
  <c r="P529" i="1"/>
  <c r="Q567" i="1"/>
  <c r="M567" i="1"/>
  <c r="L567" i="1"/>
  <c r="R567" i="1"/>
  <c r="P509" i="1"/>
  <c r="P503" i="1" s="1"/>
  <c r="O509" i="1"/>
  <c r="O503" i="1" s="1"/>
  <c r="O497" i="1" s="1"/>
  <c r="N507" i="1"/>
  <c r="J519" i="1"/>
  <c r="O518" i="1"/>
  <c r="K525" i="1"/>
  <c r="G525" i="1"/>
  <c r="N497" i="1"/>
  <c r="M527" i="1"/>
  <c r="L527" i="1"/>
  <c r="H513" i="1"/>
  <c r="O545" i="1"/>
  <c r="H496" i="1"/>
  <c r="H490" i="1" s="1"/>
  <c r="H497" i="1"/>
  <c r="H491" i="1" s="1"/>
  <c r="H498" i="1"/>
  <c r="H492" i="1" s="1"/>
  <c r="H499" i="1"/>
  <c r="H493" i="1" s="1"/>
  <c r="H500" i="1"/>
  <c r="H494" i="1" s="1"/>
  <c r="J507" i="1"/>
  <c r="M509" i="1"/>
  <c r="Q509" i="1"/>
  <c r="L510" i="1"/>
  <c r="P510" i="1"/>
  <c r="P504" i="1" s="1"/>
  <c r="O511" i="1"/>
  <c r="O514" i="1"/>
  <c r="J527" i="1"/>
  <c r="J528" i="1"/>
  <c r="Q531" i="1"/>
  <c r="P533" i="1"/>
  <c r="O527" i="1"/>
  <c r="P544" i="1"/>
  <c r="H543" i="1"/>
  <c r="R549" i="1"/>
  <c r="J549" i="1"/>
  <c r="J573" i="1"/>
  <c r="R585" i="1"/>
  <c r="J585" i="1"/>
  <c r="M515" i="1"/>
  <c r="P528" i="1"/>
  <c r="P530" i="1"/>
  <c r="J555" i="1"/>
  <c r="Q558" i="1"/>
  <c r="M558" i="1"/>
  <c r="K546" i="1"/>
  <c r="L558" i="1"/>
  <c r="R558" i="1"/>
  <c r="K555" i="1"/>
  <c r="Q555" i="1" s="1"/>
  <c r="Q572" i="1"/>
  <c r="M572" i="1"/>
  <c r="L572" i="1"/>
  <c r="R572" i="1"/>
  <c r="K548" i="1"/>
  <c r="R548" i="1" s="1"/>
  <c r="P594" i="1"/>
  <c r="O594" i="1"/>
  <c r="O546" i="1" s="1"/>
  <c r="N546" i="1"/>
  <c r="J515" i="1"/>
  <c r="J516" i="1"/>
  <c r="L531" i="1"/>
  <c r="M531" i="1"/>
  <c r="I543" i="1"/>
  <c r="J546" i="1"/>
  <c r="O547" i="1"/>
  <c r="Q564" i="1"/>
  <c r="M564" i="1"/>
  <c r="L564" i="1"/>
  <c r="R564" i="1"/>
  <c r="K561" i="1"/>
  <c r="P545" i="1"/>
  <c r="J548" i="1"/>
  <c r="P960" i="1"/>
  <c r="O960" i="1"/>
  <c r="M960" i="1"/>
  <c r="L960" i="1"/>
  <c r="J960" i="1"/>
  <c r="P959" i="1"/>
  <c r="O959" i="1"/>
  <c r="M959" i="1"/>
  <c r="L959" i="1"/>
  <c r="J959" i="1"/>
  <c r="O958" i="1"/>
  <c r="K958" i="1"/>
  <c r="J958" i="1"/>
  <c r="M957" i="1"/>
  <c r="L957" i="1"/>
  <c r="J957" i="1"/>
  <c r="N956" i="1"/>
  <c r="M956" i="1"/>
  <c r="L956" i="1"/>
  <c r="J956" i="1"/>
  <c r="I955" i="1"/>
  <c r="H955" i="1"/>
  <c r="G955" i="1"/>
  <c r="F955" i="1"/>
  <c r="E955" i="1"/>
  <c r="D955" i="1"/>
  <c r="P954" i="1"/>
  <c r="O954" i="1"/>
  <c r="M954" i="1"/>
  <c r="L954" i="1"/>
  <c r="J954" i="1"/>
  <c r="P953" i="1"/>
  <c r="O953" i="1"/>
  <c r="M953" i="1"/>
  <c r="L953" i="1"/>
  <c r="J953" i="1"/>
  <c r="O952" i="1"/>
  <c r="M952" i="1"/>
  <c r="L952" i="1"/>
  <c r="J952" i="1"/>
  <c r="M951" i="1"/>
  <c r="L951" i="1"/>
  <c r="J951" i="1"/>
  <c r="N950" i="1"/>
  <c r="M950" i="1"/>
  <c r="L950" i="1"/>
  <c r="J950" i="1"/>
  <c r="K949" i="1"/>
  <c r="I949" i="1"/>
  <c r="G949" i="1"/>
  <c r="F949" i="1"/>
  <c r="E949" i="1"/>
  <c r="D949" i="1"/>
  <c r="N948" i="1"/>
  <c r="N942" i="1" s="1"/>
  <c r="N936" i="1" s="1"/>
  <c r="K948" i="1"/>
  <c r="K942" i="1" s="1"/>
  <c r="K936" i="1" s="1"/>
  <c r="I948" i="1"/>
  <c r="I942" i="1" s="1"/>
  <c r="I936" i="1" s="1"/>
  <c r="H948" i="1"/>
  <c r="H942" i="1" s="1"/>
  <c r="G948" i="1"/>
  <c r="G942" i="1" s="1"/>
  <c r="G936" i="1" s="1"/>
  <c r="N947" i="1"/>
  <c r="N941" i="1" s="1"/>
  <c r="K947" i="1"/>
  <c r="I947" i="1"/>
  <c r="I941" i="1" s="1"/>
  <c r="H947" i="1"/>
  <c r="H941" i="1" s="1"/>
  <c r="G947" i="1"/>
  <c r="I946" i="1"/>
  <c r="I940" i="1" s="1"/>
  <c r="G946" i="1"/>
  <c r="G940" i="1" s="1"/>
  <c r="K945" i="1"/>
  <c r="K939" i="1" s="1"/>
  <c r="I945" i="1"/>
  <c r="I939" i="1" s="1"/>
  <c r="H945" i="1"/>
  <c r="K944" i="1"/>
  <c r="I944" i="1"/>
  <c r="I938" i="1" s="1"/>
  <c r="H944" i="1"/>
  <c r="G944" i="1"/>
  <c r="G938" i="1" s="1"/>
  <c r="G932" i="1" s="1"/>
  <c r="F943" i="1"/>
  <c r="E943" i="1"/>
  <c r="D943" i="1"/>
  <c r="F939" i="1"/>
  <c r="F937" i="1" s="1"/>
  <c r="D939" i="1"/>
  <c r="D937" i="1" s="1"/>
  <c r="E937" i="1"/>
  <c r="F933" i="1"/>
  <c r="F931" i="1" s="1"/>
  <c r="E933" i="1"/>
  <c r="E931" i="1" s="1"/>
  <c r="D933" i="1"/>
  <c r="D931" i="1" s="1"/>
  <c r="M824" i="1"/>
  <c r="L824" i="1"/>
  <c r="J824" i="1"/>
  <c r="P823" i="1"/>
  <c r="M823" i="1"/>
  <c r="L823" i="1"/>
  <c r="J823" i="1"/>
  <c r="P822" i="1"/>
  <c r="M822" i="1"/>
  <c r="L822" i="1"/>
  <c r="J822" i="1"/>
  <c r="P821" i="1"/>
  <c r="M821" i="1"/>
  <c r="L821" i="1"/>
  <c r="J821" i="1"/>
  <c r="M820" i="1"/>
  <c r="L820" i="1"/>
  <c r="J820" i="1"/>
  <c r="K819" i="1"/>
  <c r="H819" i="1"/>
  <c r="G819" i="1"/>
  <c r="F819" i="1"/>
  <c r="E819" i="1"/>
  <c r="D819" i="1"/>
  <c r="R782" i="1"/>
  <c r="Q782" i="1"/>
  <c r="P782" i="1"/>
  <c r="O782" i="1"/>
  <c r="R781" i="1"/>
  <c r="Q781" i="1"/>
  <c r="N781" i="1"/>
  <c r="O781" i="1" s="1"/>
  <c r="L781" i="1"/>
  <c r="R780" i="1"/>
  <c r="Q780" i="1"/>
  <c r="N780" i="1"/>
  <c r="O780" i="1" s="1"/>
  <c r="L780" i="1"/>
  <c r="R779" i="1"/>
  <c r="Q779" i="1"/>
  <c r="L779" i="1"/>
  <c r="R778" i="1"/>
  <c r="Q778" i="1"/>
  <c r="L778" i="1"/>
  <c r="K777" i="1"/>
  <c r="I777" i="1"/>
  <c r="H777" i="1"/>
  <c r="G777" i="1"/>
  <c r="N776" i="1"/>
  <c r="F771" i="1"/>
  <c r="E771" i="1"/>
  <c r="D771" i="1"/>
  <c r="R770" i="1"/>
  <c r="Q770" i="1"/>
  <c r="P770" i="1"/>
  <c r="O770" i="1"/>
  <c r="R769" i="1"/>
  <c r="Q769" i="1"/>
  <c r="N769" i="1"/>
  <c r="M769" i="1"/>
  <c r="L769" i="1"/>
  <c r="J769" i="1"/>
  <c r="R768" i="1"/>
  <c r="Q768" i="1"/>
  <c r="N768" i="1"/>
  <c r="M768" i="1"/>
  <c r="L768" i="1"/>
  <c r="J768" i="1"/>
  <c r="R767" i="1"/>
  <c r="Q767" i="1"/>
  <c r="N767" i="1"/>
  <c r="M767" i="1"/>
  <c r="L767" i="1"/>
  <c r="J767" i="1"/>
  <c r="R766" i="1"/>
  <c r="Q766" i="1"/>
  <c r="N766" i="1"/>
  <c r="M766" i="1"/>
  <c r="L766" i="1"/>
  <c r="J766" i="1"/>
  <c r="K765" i="1"/>
  <c r="I765" i="1"/>
  <c r="H765" i="1"/>
  <c r="R764" i="1"/>
  <c r="Q764" i="1"/>
  <c r="P764" i="1"/>
  <c r="O764" i="1"/>
  <c r="R763" i="1"/>
  <c r="Q763" i="1"/>
  <c r="N763" i="1"/>
  <c r="M763" i="1"/>
  <c r="L763" i="1"/>
  <c r="J763" i="1"/>
  <c r="R762" i="1"/>
  <c r="Q762" i="1"/>
  <c r="N762" i="1"/>
  <c r="M762" i="1"/>
  <c r="L762" i="1"/>
  <c r="J762" i="1"/>
  <c r="R761" i="1"/>
  <c r="Q761" i="1"/>
  <c r="N761" i="1"/>
  <c r="M761" i="1"/>
  <c r="L761" i="1"/>
  <c r="J761" i="1"/>
  <c r="R760" i="1"/>
  <c r="Q760" i="1"/>
  <c r="P760" i="1"/>
  <c r="O760" i="1"/>
  <c r="M760" i="1"/>
  <c r="L760" i="1"/>
  <c r="J760" i="1"/>
  <c r="K759" i="1"/>
  <c r="I759" i="1"/>
  <c r="H759" i="1"/>
  <c r="R758" i="1"/>
  <c r="Q758" i="1"/>
  <c r="P758" i="1"/>
  <c r="O758" i="1"/>
  <c r="R757" i="1"/>
  <c r="Q757" i="1"/>
  <c r="N757" i="1"/>
  <c r="O757" i="1" s="1"/>
  <c r="R756" i="1"/>
  <c r="Q756" i="1"/>
  <c r="N756" i="1"/>
  <c r="M756" i="1"/>
  <c r="L756" i="1"/>
  <c r="J756" i="1"/>
  <c r="R755" i="1"/>
  <c r="Q755" i="1"/>
  <c r="N755" i="1"/>
  <c r="M755" i="1"/>
  <c r="L755" i="1"/>
  <c r="J755" i="1"/>
  <c r="R754" i="1"/>
  <c r="Q754" i="1"/>
  <c r="N754" i="1"/>
  <c r="M754" i="1"/>
  <c r="L754" i="1"/>
  <c r="J754" i="1"/>
  <c r="K753" i="1"/>
  <c r="I753" i="1"/>
  <c r="H753" i="1"/>
  <c r="R752" i="1"/>
  <c r="Q752" i="1"/>
  <c r="O752" i="1"/>
  <c r="R751" i="1"/>
  <c r="Q751" i="1"/>
  <c r="N751" i="1"/>
  <c r="O751" i="1" s="1"/>
  <c r="M751" i="1"/>
  <c r="L751" i="1"/>
  <c r="J751" i="1"/>
  <c r="R750" i="1"/>
  <c r="Q750" i="1"/>
  <c r="N750" i="1"/>
  <c r="O750" i="1" s="1"/>
  <c r="R749" i="1"/>
  <c r="Q749" i="1"/>
  <c r="N749" i="1"/>
  <c r="O749" i="1" s="1"/>
  <c r="M749" i="1"/>
  <c r="L749" i="1"/>
  <c r="J749" i="1"/>
  <c r="R748" i="1"/>
  <c r="Q748" i="1"/>
  <c r="P748" i="1"/>
  <c r="O748" i="1"/>
  <c r="M748" i="1"/>
  <c r="L748" i="1"/>
  <c r="J748" i="1"/>
  <c r="K747" i="1"/>
  <c r="I747" i="1"/>
  <c r="H747" i="1"/>
  <c r="R746" i="1"/>
  <c r="Q746" i="1"/>
  <c r="P746" i="1"/>
  <c r="O746" i="1"/>
  <c r="R745" i="1"/>
  <c r="Q745" i="1"/>
  <c r="N745" i="1"/>
  <c r="O745" i="1" s="1"/>
  <c r="M745" i="1"/>
  <c r="L745" i="1"/>
  <c r="J745" i="1"/>
  <c r="R744" i="1"/>
  <c r="Q744" i="1"/>
  <c r="N744" i="1"/>
  <c r="M744" i="1"/>
  <c r="L744" i="1"/>
  <c r="J744" i="1"/>
  <c r="R743" i="1"/>
  <c r="Q743" i="1"/>
  <c r="N743" i="1"/>
  <c r="M743" i="1"/>
  <c r="L743" i="1"/>
  <c r="J743" i="1"/>
  <c r="R742" i="1"/>
  <c r="Q742" i="1"/>
  <c r="P742" i="1"/>
  <c r="O742" i="1"/>
  <c r="M742" i="1"/>
  <c r="L742" i="1"/>
  <c r="J742" i="1"/>
  <c r="K741" i="1"/>
  <c r="I741" i="1"/>
  <c r="H741" i="1"/>
  <c r="R740" i="1"/>
  <c r="Q740" i="1"/>
  <c r="P740" i="1"/>
  <c r="O740" i="1"/>
  <c r="R739" i="1"/>
  <c r="Q739" i="1"/>
  <c r="N739" i="1"/>
  <c r="M739" i="1"/>
  <c r="L739" i="1"/>
  <c r="J739" i="1"/>
  <c r="R738" i="1"/>
  <c r="Q738" i="1"/>
  <c r="N738" i="1"/>
  <c r="O738" i="1" s="1"/>
  <c r="M738" i="1"/>
  <c r="L738" i="1"/>
  <c r="J738" i="1"/>
  <c r="R737" i="1"/>
  <c r="Q737" i="1"/>
  <c r="N737" i="1"/>
  <c r="O737" i="1" s="1"/>
  <c r="R736" i="1"/>
  <c r="Q736" i="1"/>
  <c r="P736" i="1"/>
  <c r="O736" i="1"/>
  <c r="M736" i="1"/>
  <c r="L736" i="1"/>
  <c r="J736" i="1"/>
  <c r="K735" i="1"/>
  <c r="I735" i="1"/>
  <c r="H735" i="1"/>
  <c r="R734" i="1"/>
  <c r="Q734" i="1"/>
  <c r="P734" i="1"/>
  <c r="O734" i="1"/>
  <c r="R733" i="1"/>
  <c r="Q733" i="1"/>
  <c r="N733" i="1"/>
  <c r="M733" i="1"/>
  <c r="L733" i="1"/>
  <c r="J733" i="1"/>
  <c r="R732" i="1"/>
  <c r="Q732" i="1"/>
  <c r="N732" i="1"/>
  <c r="O732" i="1" s="1"/>
  <c r="M732" i="1"/>
  <c r="L732" i="1"/>
  <c r="J732" i="1"/>
  <c r="R731" i="1"/>
  <c r="Q731" i="1"/>
  <c r="N731" i="1"/>
  <c r="M731" i="1"/>
  <c r="L731" i="1"/>
  <c r="J731" i="1"/>
  <c r="R730" i="1"/>
  <c r="Q730" i="1"/>
  <c r="P730" i="1"/>
  <c r="O730" i="1"/>
  <c r="M730" i="1"/>
  <c r="L730" i="1"/>
  <c r="J730" i="1"/>
  <c r="K729" i="1"/>
  <c r="I729" i="1"/>
  <c r="H729" i="1"/>
  <c r="R728" i="1"/>
  <c r="Q728" i="1"/>
  <c r="P728" i="1"/>
  <c r="O728" i="1"/>
  <c r="R727" i="1"/>
  <c r="Q727" i="1"/>
  <c r="N727" i="1"/>
  <c r="O727" i="1" s="1"/>
  <c r="M727" i="1"/>
  <c r="L727" i="1"/>
  <c r="J727" i="1"/>
  <c r="N726" i="1"/>
  <c r="O726" i="1" s="1"/>
  <c r="J726" i="1"/>
  <c r="N725" i="1"/>
  <c r="K725" i="1"/>
  <c r="R724" i="1"/>
  <c r="Q724" i="1"/>
  <c r="P724" i="1"/>
  <c r="O724" i="1"/>
  <c r="M724" i="1"/>
  <c r="L724" i="1"/>
  <c r="J724" i="1"/>
  <c r="I723" i="1"/>
  <c r="H723" i="1"/>
  <c r="R722" i="1"/>
  <c r="Q722" i="1"/>
  <c r="P722" i="1"/>
  <c r="O722" i="1"/>
  <c r="R721" i="1"/>
  <c r="Q721" i="1"/>
  <c r="N721" i="1"/>
  <c r="P721" i="1" s="1"/>
  <c r="M721" i="1"/>
  <c r="L721" i="1"/>
  <c r="J721" i="1"/>
  <c r="R720" i="1"/>
  <c r="Q720" i="1"/>
  <c r="N720" i="1"/>
  <c r="O720" i="1" s="1"/>
  <c r="M720" i="1"/>
  <c r="L720" i="1"/>
  <c r="J720" i="1"/>
  <c r="R719" i="1"/>
  <c r="Q719" i="1"/>
  <c r="N719" i="1"/>
  <c r="O719" i="1" s="1"/>
  <c r="M719" i="1"/>
  <c r="L719" i="1"/>
  <c r="J719" i="1"/>
  <c r="R718" i="1"/>
  <c r="Q718" i="1"/>
  <c r="P718" i="1"/>
  <c r="O718" i="1"/>
  <c r="L718" i="1"/>
  <c r="J718" i="1"/>
  <c r="K717" i="1"/>
  <c r="I717" i="1"/>
  <c r="H717" i="1"/>
  <c r="N716" i="1"/>
  <c r="K716" i="1"/>
  <c r="I716" i="1"/>
  <c r="H716" i="1"/>
  <c r="K715" i="1"/>
  <c r="K691" i="1" s="1"/>
  <c r="I715" i="1"/>
  <c r="H715" i="1"/>
  <c r="I690" i="1"/>
  <c r="H714" i="1"/>
  <c r="I713" i="1"/>
  <c r="H713" i="1"/>
  <c r="H689" i="1" s="1"/>
  <c r="K712" i="1"/>
  <c r="I712" i="1"/>
  <c r="I688" i="1" s="1"/>
  <c r="H712" i="1"/>
  <c r="H688" i="1" s="1"/>
  <c r="R710" i="1"/>
  <c r="Q710" i="1"/>
  <c r="P710" i="1"/>
  <c r="O710" i="1"/>
  <c r="R709" i="1"/>
  <c r="Q709" i="1"/>
  <c r="N709" i="1"/>
  <c r="M709" i="1"/>
  <c r="L709" i="1"/>
  <c r="J709" i="1"/>
  <c r="N708" i="1"/>
  <c r="K708" i="1"/>
  <c r="R708" i="1" s="1"/>
  <c r="J708" i="1"/>
  <c r="N707" i="1"/>
  <c r="K707" i="1"/>
  <c r="R707" i="1" s="1"/>
  <c r="J707" i="1"/>
  <c r="R706" i="1"/>
  <c r="Q706" i="1"/>
  <c r="P706" i="1"/>
  <c r="O706" i="1"/>
  <c r="M706" i="1"/>
  <c r="L706" i="1"/>
  <c r="J706" i="1"/>
  <c r="I705" i="1"/>
  <c r="H705" i="1"/>
  <c r="R704" i="1"/>
  <c r="Q704" i="1"/>
  <c r="P704" i="1"/>
  <c r="O704" i="1"/>
  <c r="R703" i="1"/>
  <c r="Q703" i="1"/>
  <c r="N703" i="1"/>
  <c r="O703" i="1" s="1"/>
  <c r="M703" i="1"/>
  <c r="L703" i="1"/>
  <c r="J703" i="1"/>
  <c r="R702" i="1"/>
  <c r="Q702" i="1"/>
  <c r="N702" i="1"/>
  <c r="M702" i="1"/>
  <c r="L702" i="1"/>
  <c r="J702" i="1"/>
  <c r="R701" i="1"/>
  <c r="Q701" i="1"/>
  <c r="N701" i="1"/>
  <c r="O701" i="1" s="1"/>
  <c r="M701" i="1"/>
  <c r="L701" i="1"/>
  <c r="J701" i="1"/>
  <c r="R700" i="1"/>
  <c r="Q700" i="1"/>
  <c r="P700" i="1"/>
  <c r="O700" i="1"/>
  <c r="M700" i="1"/>
  <c r="L700" i="1"/>
  <c r="J700" i="1"/>
  <c r="K699" i="1"/>
  <c r="I699" i="1"/>
  <c r="H699" i="1"/>
  <c r="R698" i="1"/>
  <c r="Q698" i="1"/>
  <c r="P698" i="1"/>
  <c r="O698" i="1"/>
  <c r="M698" i="1"/>
  <c r="R697" i="1"/>
  <c r="Q697" i="1"/>
  <c r="N697" i="1"/>
  <c r="M697" i="1"/>
  <c r="L697" i="1"/>
  <c r="J697" i="1"/>
  <c r="N696" i="1"/>
  <c r="P696" i="1" s="1"/>
  <c r="K696" i="1"/>
  <c r="J696" i="1"/>
  <c r="P695" i="1"/>
  <c r="O695" i="1"/>
  <c r="K695" i="1"/>
  <c r="J695" i="1"/>
  <c r="R694" i="1"/>
  <c r="Q694" i="1"/>
  <c r="P694" i="1"/>
  <c r="O694" i="1"/>
  <c r="M694" i="1"/>
  <c r="L694" i="1"/>
  <c r="J694" i="1"/>
  <c r="I693" i="1"/>
  <c r="H693" i="1"/>
  <c r="F687" i="1"/>
  <c r="E687" i="1"/>
  <c r="D687" i="1"/>
  <c r="F683" i="1"/>
  <c r="E683" i="1"/>
  <c r="E681" i="1" s="1"/>
  <c r="D683" i="1"/>
  <c r="D681" i="1" s="1"/>
  <c r="R668" i="1"/>
  <c r="Q668" i="1"/>
  <c r="P668" i="1"/>
  <c r="O668" i="1"/>
  <c r="M668" i="1"/>
  <c r="L668" i="1"/>
  <c r="J668" i="1"/>
  <c r="R667" i="1"/>
  <c r="Q667" i="1"/>
  <c r="P667" i="1"/>
  <c r="O667" i="1"/>
  <c r="M667" i="1"/>
  <c r="L667" i="1"/>
  <c r="J667" i="1"/>
  <c r="R666" i="1"/>
  <c r="Q666" i="1"/>
  <c r="N666" i="1"/>
  <c r="O666" i="1" s="1"/>
  <c r="O660" i="1" s="1"/>
  <c r="M666" i="1"/>
  <c r="L666" i="1"/>
  <c r="J666" i="1"/>
  <c r="R665" i="1"/>
  <c r="Q665" i="1"/>
  <c r="N665" i="1"/>
  <c r="O665" i="1" s="1"/>
  <c r="O659" i="1" s="1"/>
  <c r="M665" i="1"/>
  <c r="L665" i="1"/>
  <c r="J665" i="1"/>
  <c r="F665" i="1"/>
  <c r="F663" i="1" s="1"/>
  <c r="R664" i="1"/>
  <c r="Q664" i="1"/>
  <c r="N664" i="1"/>
  <c r="N658" i="1" s="1"/>
  <c r="M664" i="1"/>
  <c r="L664" i="1"/>
  <c r="J664" i="1"/>
  <c r="K663" i="1"/>
  <c r="I663" i="1"/>
  <c r="H663" i="1"/>
  <c r="G663" i="1"/>
  <c r="E663" i="1"/>
  <c r="D663" i="1"/>
  <c r="N662" i="1"/>
  <c r="K662" i="1"/>
  <c r="I662" i="1"/>
  <c r="H662" i="1"/>
  <c r="G662" i="1"/>
  <c r="N661" i="1"/>
  <c r="K661" i="1"/>
  <c r="I661" i="1"/>
  <c r="H661" i="1"/>
  <c r="G661" i="1"/>
  <c r="K660" i="1"/>
  <c r="I660" i="1"/>
  <c r="H660" i="1"/>
  <c r="G660" i="1"/>
  <c r="H659" i="1"/>
  <c r="G659" i="1"/>
  <c r="F659" i="1"/>
  <c r="F657" i="1" s="1"/>
  <c r="H658" i="1"/>
  <c r="G658" i="1"/>
  <c r="E657" i="1"/>
  <c r="D657" i="1"/>
  <c r="R644" i="1"/>
  <c r="Q644" i="1"/>
  <c r="P644" i="1"/>
  <c r="O644" i="1"/>
  <c r="M644" i="1"/>
  <c r="L644" i="1"/>
  <c r="J644" i="1"/>
  <c r="R643" i="1"/>
  <c r="Q643" i="1"/>
  <c r="P643" i="1"/>
  <c r="O643" i="1"/>
  <c r="M643" i="1"/>
  <c r="L643" i="1"/>
  <c r="J643" i="1"/>
  <c r="R642" i="1"/>
  <c r="Q642" i="1"/>
  <c r="P642" i="1"/>
  <c r="O642" i="1"/>
  <c r="M642" i="1"/>
  <c r="L642" i="1"/>
  <c r="J642" i="1"/>
  <c r="R641" i="1"/>
  <c r="Q641" i="1"/>
  <c r="N641" i="1"/>
  <c r="M641" i="1"/>
  <c r="L641" i="1"/>
  <c r="J641" i="1"/>
  <c r="F641" i="1"/>
  <c r="F639" i="1" s="1"/>
  <c r="R640" i="1"/>
  <c r="Q640" i="1"/>
  <c r="N640" i="1"/>
  <c r="O640" i="1" s="1"/>
  <c r="M640" i="1"/>
  <c r="L640" i="1"/>
  <c r="J640" i="1"/>
  <c r="K639" i="1"/>
  <c r="I639" i="1"/>
  <c r="H639" i="1"/>
  <c r="G639" i="1"/>
  <c r="E639" i="1"/>
  <c r="D639" i="1"/>
  <c r="R638" i="1"/>
  <c r="Q638" i="1"/>
  <c r="P638" i="1"/>
  <c r="O638" i="1"/>
  <c r="M638" i="1"/>
  <c r="L638" i="1"/>
  <c r="J638" i="1"/>
  <c r="R637" i="1"/>
  <c r="Q637" i="1"/>
  <c r="P637" i="1"/>
  <c r="O637" i="1"/>
  <c r="M637" i="1"/>
  <c r="L637" i="1"/>
  <c r="J637" i="1"/>
  <c r="R636" i="1"/>
  <c r="Q636" i="1"/>
  <c r="P636" i="1"/>
  <c r="O636" i="1"/>
  <c r="M636" i="1"/>
  <c r="L636" i="1"/>
  <c r="J636" i="1"/>
  <c r="R635" i="1"/>
  <c r="Q635" i="1"/>
  <c r="N635" i="1"/>
  <c r="P635" i="1" s="1"/>
  <c r="M635" i="1"/>
  <c r="L635" i="1"/>
  <c r="J635" i="1"/>
  <c r="F635" i="1"/>
  <c r="F633" i="1" s="1"/>
  <c r="R634" i="1"/>
  <c r="Q634" i="1"/>
  <c r="P634" i="1"/>
  <c r="O634" i="1"/>
  <c r="M634" i="1"/>
  <c r="L634" i="1"/>
  <c r="J634" i="1"/>
  <c r="K633" i="1"/>
  <c r="I633" i="1"/>
  <c r="H633" i="1"/>
  <c r="G633" i="1"/>
  <c r="E633" i="1"/>
  <c r="D633" i="1"/>
  <c r="R632" i="1"/>
  <c r="Q632" i="1"/>
  <c r="P632" i="1"/>
  <c r="O632" i="1"/>
  <c r="M632" i="1"/>
  <c r="L632" i="1"/>
  <c r="J632" i="1"/>
  <c r="R631" i="1"/>
  <c r="Q631" i="1"/>
  <c r="P631" i="1"/>
  <c r="O631" i="1"/>
  <c r="M631" i="1"/>
  <c r="L631" i="1"/>
  <c r="J631" i="1"/>
  <c r="R630" i="1"/>
  <c r="Q630" i="1"/>
  <c r="N630" i="1"/>
  <c r="O630" i="1" s="1"/>
  <c r="M630" i="1"/>
  <c r="L630" i="1"/>
  <c r="J630" i="1"/>
  <c r="R629" i="1"/>
  <c r="Q629" i="1"/>
  <c r="N629" i="1"/>
  <c r="O629" i="1" s="1"/>
  <c r="M629" i="1"/>
  <c r="L629" i="1"/>
  <c r="J629" i="1"/>
  <c r="F629" i="1"/>
  <c r="F627" i="1" s="1"/>
  <c r="R628" i="1"/>
  <c r="Q628" i="1"/>
  <c r="P628" i="1"/>
  <c r="O628" i="1"/>
  <c r="M628" i="1"/>
  <c r="L628" i="1"/>
  <c r="J628" i="1"/>
  <c r="K627" i="1"/>
  <c r="I627" i="1"/>
  <c r="H627" i="1"/>
  <c r="G627" i="1"/>
  <c r="E627" i="1"/>
  <c r="D627" i="1"/>
  <c r="R626" i="1"/>
  <c r="Q626" i="1"/>
  <c r="P626" i="1"/>
  <c r="O626" i="1"/>
  <c r="M626" i="1"/>
  <c r="L626" i="1"/>
  <c r="J626" i="1"/>
  <c r="N625" i="1"/>
  <c r="O625" i="1" s="1"/>
  <c r="K619" i="1"/>
  <c r="K613" i="1" s="1"/>
  <c r="N624" i="1"/>
  <c r="P624" i="1" s="1"/>
  <c r="K624" i="1"/>
  <c r="Q624" i="1" s="1"/>
  <c r="J624" i="1"/>
  <c r="N623" i="1"/>
  <c r="J623" i="1"/>
  <c r="F623" i="1"/>
  <c r="F621" i="1" s="1"/>
  <c r="R622" i="1"/>
  <c r="Q622" i="1"/>
  <c r="P622" i="1"/>
  <c r="O622" i="1"/>
  <c r="M622" i="1"/>
  <c r="L622" i="1"/>
  <c r="J622" i="1"/>
  <c r="I621" i="1"/>
  <c r="H621" i="1"/>
  <c r="G621" i="1"/>
  <c r="E621" i="1"/>
  <c r="D621" i="1"/>
  <c r="N620" i="1"/>
  <c r="K620" i="1"/>
  <c r="I620" i="1"/>
  <c r="H620" i="1"/>
  <c r="G620" i="1"/>
  <c r="I619" i="1"/>
  <c r="H619" i="1"/>
  <c r="G619" i="1"/>
  <c r="I618" i="1"/>
  <c r="H618" i="1"/>
  <c r="G618" i="1"/>
  <c r="I617" i="1"/>
  <c r="I611" i="1" s="1"/>
  <c r="H617" i="1"/>
  <c r="G617" i="1"/>
  <c r="F617" i="1"/>
  <c r="F615" i="1" s="1"/>
  <c r="K616" i="1"/>
  <c r="I616" i="1"/>
  <c r="H616" i="1"/>
  <c r="G616" i="1"/>
  <c r="E615" i="1"/>
  <c r="D615" i="1"/>
  <c r="R470" i="1"/>
  <c r="Q470" i="1"/>
  <c r="P470" i="1"/>
  <c r="O470" i="1"/>
  <c r="M470" i="1"/>
  <c r="L470" i="1"/>
  <c r="J470" i="1"/>
  <c r="R469" i="1"/>
  <c r="Q469" i="1"/>
  <c r="P469" i="1"/>
  <c r="O469" i="1"/>
  <c r="M469" i="1"/>
  <c r="L469" i="1"/>
  <c r="J469" i="1"/>
  <c r="R468" i="1"/>
  <c r="Q468" i="1"/>
  <c r="P468" i="1"/>
  <c r="O468" i="1"/>
  <c r="M468" i="1"/>
  <c r="L468" i="1"/>
  <c r="J468" i="1"/>
  <c r="R467" i="1"/>
  <c r="Q467" i="1"/>
  <c r="N467" i="1"/>
  <c r="O467" i="1" s="1"/>
  <c r="M467" i="1"/>
  <c r="L467" i="1"/>
  <c r="J467" i="1"/>
  <c r="F467" i="1"/>
  <c r="F465" i="1" s="1"/>
  <c r="R466" i="1"/>
  <c r="Q466" i="1"/>
  <c r="P466" i="1"/>
  <c r="O466" i="1"/>
  <c r="M466" i="1"/>
  <c r="L466" i="1"/>
  <c r="J466" i="1"/>
  <c r="K465" i="1"/>
  <c r="I465" i="1"/>
  <c r="H465" i="1"/>
  <c r="G465" i="1"/>
  <c r="E465" i="1"/>
  <c r="D465" i="1"/>
  <c r="R398" i="1"/>
  <c r="Q398" i="1"/>
  <c r="P398" i="1"/>
  <c r="O398" i="1"/>
  <c r="M398" i="1"/>
  <c r="R397" i="1"/>
  <c r="Q397" i="1"/>
  <c r="P397" i="1"/>
  <c r="O397" i="1"/>
  <c r="M397" i="1"/>
  <c r="K396" i="1"/>
  <c r="L396" i="1" s="1"/>
  <c r="J396" i="1"/>
  <c r="R395" i="1"/>
  <c r="Q395" i="1"/>
  <c r="N395" i="1"/>
  <c r="M395" i="1"/>
  <c r="L395" i="1"/>
  <c r="J395" i="1"/>
  <c r="R394" i="1"/>
  <c r="Q394" i="1"/>
  <c r="P394" i="1"/>
  <c r="O394" i="1"/>
  <c r="M394" i="1"/>
  <c r="I393" i="1"/>
  <c r="H393" i="1"/>
  <c r="G393" i="1"/>
  <c r="F393" i="1"/>
  <c r="E393" i="1"/>
  <c r="D393" i="1"/>
  <c r="R392" i="1"/>
  <c r="Q392" i="1"/>
  <c r="P392" i="1"/>
  <c r="O392" i="1"/>
  <c r="M392" i="1"/>
  <c r="R391" i="1"/>
  <c r="Q391" i="1"/>
  <c r="P391" i="1"/>
  <c r="O391" i="1"/>
  <c r="M391" i="1"/>
  <c r="R390" i="1"/>
  <c r="Q390" i="1"/>
  <c r="N390" i="1"/>
  <c r="O390" i="1" s="1"/>
  <c r="M390" i="1"/>
  <c r="R389" i="1"/>
  <c r="Q389" i="1"/>
  <c r="N389" i="1"/>
  <c r="M389" i="1"/>
  <c r="L389" i="1"/>
  <c r="J389" i="1"/>
  <c r="R388" i="1"/>
  <c r="Q388" i="1"/>
  <c r="P388" i="1"/>
  <c r="O388" i="1"/>
  <c r="M388" i="1"/>
  <c r="K387" i="1"/>
  <c r="I387" i="1"/>
  <c r="H387" i="1"/>
  <c r="G387" i="1"/>
  <c r="F387" i="1"/>
  <c r="E387" i="1"/>
  <c r="D387" i="1"/>
  <c r="R386" i="1"/>
  <c r="Q386" i="1"/>
  <c r="P386" i="1"/>
  <c r="O386" i="1"/>
  <c r="M386" i="1"/>
  <c r="R385" i="1"/>
  <c r="Q385" i="1"/>
  <c r="P385" i="1"/>
  <c r="O385" i="1"/>
  <c r="M385" i="1"/>
  <c r="R384" i="1"/>
  <c r="Q384" i="1"/>
  <c r="N384" i="1"/>
  <c r="O384" i="1" s="1"/>
  <c r="M384" i="1"/>
  <c r="L384" i="1"/>
  <c r="J384" i="1"/>
  <c r="R383" i="1"/>
  <c r="Q383" i="1"/>
  <c r="M383" i="1"/>
  <c r="L383" i="1"/>
  <c r="J383" i="1"/>
  <c r="R382" i="1"/>
  <c r="Q382" i="1"/>
  <c r="P382" i="1"/>
  <c r="O382" i="1"/>
  <c r="M382" i="1"/>
  <c r="K381" i="1"/>
  <c r="I381" i="1"/>
  <c r="H381" i="1"/>
  <c r="G381" i="1"/>
  <c r="F381" i="1"/>
  <c r="E381" i="1"/>
  <c r="D381" i="1"/>
  <c r="N380" i="1"/>
  <c r="K380" i="1"/>
  <c r="I380" i="1"/>
  <c r="H380" i="1"/>
  <c r="G380" i="1"/>
  <c r="N379" i="1"/>
  <c r="K379" i="1"/>
  <c r="I379" i="1"/>
  <c r="H379" i="1"/>
  <c r="G379" i="1"/>
  <c r="H378" i="1"/>
  <c r="G378" i="1"/>
  <c r="K377" i="1"/>
  <c r="I377" i="1"/>
  <c r="H377" i="1"/>
  <c r="G377" i="1"/>
  <c r="N376" i="1"/>
  <c r="K376" i="1"/>
  <c r="I376" i="1"/>
  <c r="H376" i="1"/>
  <c r="G376" i="1"/>
  <c r="F375" i="1"/>
  <c r="E375" i="1"/>
  <c r="D375" i="1"/>
  <c r="R254" i="1"/>
  <c r="Q254" i="1"/>
  <c r="P254" i="1"/>
  <c r="O254" i="1"/>
  <c r="M254" i="1"/>
  <c r="L254" i="1"/>
  <c r="J254" i="1"/>
  <c r="R253" i="1"/>
  <c r="Q253" i="1"/>
  <c r="P253" i="1"/>
  <c r="O253" i="1"/>
  <c r="M253" i="1"/>
  <c r="L253" i="1"/>
  <c r="J253" i="1"/>
  <c r="R252" i="1"/>
  <c r="Q252" i="1"/>
  <c r="P252" i="1"/>
  <c r="O252" i="1"/>
  <c r="M252" i="1"/>
  <c r="L252" i="1"/>
  <c r="J252" i="1"/>
  <c r="R251" i="1"/>
  <c r="Q251" i="1"/>
  <c r="N251" i="1"/>
  <c r="N249" i="1" s="1"/>
  <c r="M251" i="1"/>
  <c r="L251" i="1"/>
  <c r="J251" i="1"/>
  <c r="R250" i="1"/>
  <c r="Q250" i="1"/>
  <c r="P250" i="1"/>
  <c r="O250" i="1"/>
  <c r="M250" i="1"/>
  <c r="L250" i="1"/>
  <c r="J250" i="1"/>
  <c r="K249" i="1"/>
  <c r="I249" i="1"/>
  <c r="H249" i="1"/>
  <c r="G249" i="1"/>
  <c r="F249" i="1"/>
  <c r="E249" i="1"/>
  <c r="D249" i="1"/>
  <c r="P527" i="1" l="1"/>
  <c r="H939" i="1"/>
  <c r="H933" i="1" s="1"/>
  <c r="G611" i="1"/>
  <c r="H611" i="1"/>
  <c r="L747" i="1"/>
  <c r="M747" i="1"/>
  <c r="I689" i="1"/>
  <c r="I683" i="1" s="1"/>
  <c r="J713" i="1"/>
  <c r="L725" i="1"/>
  <c r="M725" i="1"/>
  <c r="J747" i="1"/>
  <c r="M777" i="1"/>
  <c r="N491" i="1"/>
  <c r="R499" i="1"/>
  <c r="R500" i="1"/>
  <c r="I494" i="1"/>
  <c r="I489" i="1" s="1"/>
  <c r="P531" i="1"/>
  <c r="N493" i="1"/>
  <c r="N492" i="1"/>
  <c r="M498" i="1"/>
  <c r="K492" i="1"/>
  <c r="M492" i="1" s="1"/>
  <c r="H613" i="1"/>
  <c r="N494" i="1"/>
  <c r="K494" i="1"/>
  <c r="H612" i="1"/>
  <c r="O775" i="1"/>
  <c r="N775" i="1"/>
  <c r="P780" i="1"/>
  <c r="N774" i="1"/>
  <c r="I612" i="1"/>
  <c r="G612" i="1"/>
  <c r="G610" i="1"/>
  <c r="I613" i="1"/>
  <c r="I610" i="1"/>
  <c r="G613" i="1"/>
  <c r="H683" i="1"/>
  <c r="H610" i="1"/>
  <c r="P573" i="1"/>
  <c r="K610" i="1"/>
  <c r="L695" i="1"/>
  <c r="G686" i="1"/>
  <c r="O561" i="1"/>
  <c r="Q504" i="1"/>
  <c r="G682" i="1"/>
  <c r="M504" i="1"/>
  <c r="P942" i="1"/>
  <c r="R498" i="1"/>
  <c r="R573" i="1"/>
  <c r="L504" i="1"/>
  <c r="N693" i="1"/>
  <c r="P693" i="1" s="1"/>
  <c r="G941" i="1"/>
  <c r="G935" i="1" s="1"/>
  <c r="K938" i="1"/>
  <c r="K932" i="1" s="1"/>
  <c r="H934" i="1"/>
  <c r="M942" i="1"/>
  <c r="L942" i="1"/>
  <c r="J942" i="1"/>
  <c r="J525" i="1"/>
  <c r="H936" i="1"/>
  <c r="R496" i="1"/>
  <c r="G934" i="1"/>
  <c r="H938" i="1"/>
  <c r="K941" i="1"/>
  <c r="K935" i="1" s="1"/>
  <c r="K933" i="1"/>
  <c r="G684" i="1"/>
  <c r="O515" i="1"/>
  <c r="P585" i="1"/>
  <c r="O516" i="1"/>
  <c r="R507" i="1"/>
  <c r="G489" i="1"/>
  <c r="N513" i="1"/>
  <c r="P513" i="1" s="1"/>
  <c r="M507" i="1"/>
  <c r="P591" i="1"/>
  <c r="H682" i="1"/>
  <c r="O555" i="1"/>
  <c r="Q579" i="1"/>
  <c r="R579" i="1"/>
  <c r="L579" i="1"/>
  <c r="G685" i="1"/>
  <c r="J513" i="1"/>
  <c r="O567" i="1"/>
  <c r="M503" i="1"/>
  <c r="Q503" i="1"/>
  <c r="R504" i="1"/>
  <c r="I614" i="1"/>
  <c r="K946" i="1"/>
  <c r="K955" i="1"/>
  <c r="M955" i="1" s="1"/>
  <c r="O548" i="1"/>
  <c r="O543" i="1" s="1"/>
  <c r="K393" i="1"/>
  <c r="M393" i="1" s="1"/>
  <c r="R712" i="1"/>
  <c r="M500" i="1"/>
  <c r="Q619" i="1"/>
  <c r="O662" i="1"/>
  <c r="M948" i="1"/>
  <c r="J949" i="1"/>
  <c r="J500" i="1"/>
  <c r="J498" i="1"/>
  <c r="N465" i="1"/>
  <c r="O465" i="1" s="1"/>
  <c r="N659" i="1"/>
  <c r="J714" i="1"/>
  <c r="N741" i="1"/>
  <c r="P741" i="1" s="1"/>
  <c r="R776" i="1"/>
  <c r="N949" i="1"/>
  <c r="P949" i="1" s="1"/>
  <c r="N945" i="1"/>
  <c r="O519" i="1"/>
  <c r="N819" i="1"/>
  <c r="P819" i="1" s="1"/>
  <c r="H943" i="1"/>
  <c r="N501" i="1"/>
  <c r="P501" i="1" s="1"/>
  <c r="N955" i="1"/>
  <c r="P955" i="1" s="1"/>
  <c r="P379" i="1"/>
  <c r="N627" i="1"/>
  <c r="P627" i="1" s="1"/>
  <c r="P666" i="1"/>
  <c r="H690" i="1"/>
  <c r="K685" i="1"/>
  <c r="M716" i="1"/>
  <c r="J729" i="1"/>
  <c r="N747" i="1"/>
  <c r="P747" i="1" s="1"/>
  <c r="P751" i="1"/>
  <c r="Q759" i="1"/>
  <c r="J773" i="1"/>
  <c r="I943" i="1"/>
  <c r="O948" i="1"/>
  <c r="L958" i="1"/>
  <c r="R546" i="1"/>
  <c r="P549" i="1"/>
  <c r="M379" i="1"/>
  <c r="H935" i="1"/>
  <c r="N944" i="1"/>
  <c r="N938" i="1" s="1"/>
  <c r="N946" i="1"/>
  <c r="L503" i="1"/>
  <c r="K501" i="1"/>
  <c r="Q501" i="1" s="1"/>
  <c r="R503" i="1"/>
  <c r="K497" i="1"/>
  <c r="K491" i="1" s="1"/>
  <c r="N717" i="1"/>
  <c r="P717" i="1" s="1"/>
  <c r="J497" i="1"/>
  <c r="L498" i="1"/>
  <c r="I495" i="1"/>
  <c r="P579" i="1"/>
  <c r="O504" i="1"/>
  <c r="O579" i="1"/>
  <c r="M387" i="1"/>
  <c r="M620" i="1"/>
  <c r="N660" i="1"/>
  <c r="Q663" i="1"/>
  <c r="Q753" i="1"/>
  <c r="N777" i="1"/>
  <c r="L947" i="1"/>
  <c r="L507" i="1"/>
  <c r="Q561" i="1"/>
  <c r="M573" i="1"/>
  <c r="L573" i="1"/>
  <c r="J501" i="1"/>
  <c r="Q499" i="1"/>
  <c r="M525" i="1"/>
  <c r="L525" i="1"/>
  <c r="L519" i="1"/>
  <c r="M519" i="1"/>
  <c r="Q519" i="1"/>
  <c r="O496" i="1"/>
  <c r="O490" i="1" s="1"/>
  <c r="Q548" i="1"/>
  <c r="Q500" i="1"/>
  <c r="H495" i="1"/>
  <c r="J490" i="1"/>
  <c r="Q496" i="1"/>
  <c r="P497" i="1"/>
  <c r="Q525" i="1"/>
  <c r="R519" i="1"/>
  <c r="L500" i="1"/>
  <c r="P525" i="1"/>
  <c r="R493" i="1"/>
  <c r="M493" i="1"/>
  <c r="R490" i="1"/>
  <c r="M490" i="1"/>
  <c r="J543" i="1"/>
  <c r="P546" i="1"/>
  <c r="M548" i="1"/>
  <c r="L548" i="1"/>
  <c r="L546" i="1"/>
  <c r="M546" i="1"/>
  <c r="Q546" i="1"/>
  <c r="K543" i="1"/>
  <c r="R543" i="1" s="1"/>
  <c r="N543" i="1"/>
  <c r="Q498" i="1"/>
  <c r="M516" i="1"/>
  <c r="K513" i="1"/>
  <c r="Q513" i="1" s="1"/>
  <c r="L516" i="1"/>
  <c r="Q516" i="1"/>
  <c r="P500" i="1"/>
  <c r="P507" i="1"/>
  <c r="O507" i="1"/>
  <c r="R525" i="1"/>
  <c r="P498" i="1"/>
  <c r="R561" i="1"/>
  <c r="M561" i="1"/>
  <c r="L561" i="1"/>
  <c r="R555" i="1"/>
  <c r="M555" i="1"/>
  <c r="L555" i="1"/>
  <c r="O505" i="1"/>
  <c r="O525" i="1"/>
  <c r="P499" i="1"/>
  <c r="N495" i="1"/>
  <c r="P496" i="1"/>
  <c r="K723" i="1"/>
  <c r="M723" i="1" s="1"/>
  <c r="M376" i="1"/>
  <c r="N616" i="1"/>
  <c r="N610" i="1" s="1"/>
  <c r="M627" i="1"/>
  <c r="M659" i="1"/>
  <c r="J741" i="1"/>
  <c r="P744" i="1"/>
  <c r="J776" i="1"/>
  <c r="P824" i="1"/>
  <c r="G943" i="1"/>
  <c r="M949" i="1"/>
  <c r="M958" i="1"/>
  <c r="N705" i="1"/>
  <c r="P705" i="1" s="1"/>
  <c r="L639" i="1"/>
  <c r="R661" i="1"/>
  <c r="I771" i="1"/>
  <c r="M819" i="1"/>
  <c r="P820" i="1"/>
  <c r="M936" i="1"/>
  <c r="J944" i="1"/>
  <c r="L945" i="1"/>
  <c r="J955" i="1"/>
  <c r="M380" i="1"/>
  <c r="P390" i="1"/>
  <c r="Q396" i="1"/>
  <c r="N618" i="1"/>
  <c r="O619" i="1"/>
  <c r="P629" i="1"/>
  <c r="N713" i="1"/>
  <c r="P713" i="1" s="1"/>
  <c r="L717" i="1"/>
  <c r="P749" i="1"/>
  <c r="L765" i="1"/>
  <c r="H771" i="1"/>
  <c r="L944" i="1"/>
  <c r="M947" i="1"/>
  <c r="L948" i="1"/>
  <c r="P958" i="1"/>
  <c r="N935" i="1"/>
  <c r="M944" i="1"/>
  <c r="M945" i="1"/>
  <c r="J946" i="1"/>
  <c r="J947" i="1"/>
  <c r="J945" i="1"/>
  <c r="J948" i="1"/>
  <c r="O950" i="1"/>
  <c r="O946" i="1"/>
  <c r="O940" i="1" s="1"/>
  <c r="O947" i="1"/>
  <c r="O941" i="1" s="1"/>
  <c r="L949" i="1"/>
  <c r="P950" i="1"/>
  <c r="P951" i="1"/>
  <c r="P952" i="1"/>
  <c r="O956" i="1"/>
  <c r="O957" i="1"/>
  <c r="O951" i="1"/>
  <c r="O945" i="1" s="1"/>
  <c r="O939" i="1" s="1"/>
  <c r="P947" i="1"/>
  <c r="P948" i="1"/>
  <c r="P956" i="1"/>
  <c r="P957" i="1"/>
  <c r="P384" i="1"/>
  <c r="R639" i="1"/>
  <c r="M660" i="1"/>
  <c r="O731" i="1"/>
  <c r="R775" i="1"/>
  <c r="G375" i="1"/>
  <c r="J249" i="1"/>
  <c r="P376" i="1"/>
  <c r="O616" i="1"/>
  <c r="Q699" i="1"/>
  <c r="J712" i="1"/>
  <c r="P720" i="1"/>
  <c r="O721" i="1"/>
  <c r="R726" i="1"/>
  <c r="P731" i="1"/>
  <c r="Q765" i="1"/>
  <c r="R772" i="1"/>
  <c r="R774" i="1"/>
  <c r="Q777" i="1"/>
  <c r="L381" i="1"/>
  <c r="P467" i="1"/>
  <c r="R616" i="1"/>
  <c r="K692" i="1"/>
  <c r="K686" i="1" s="1"/>
  <c r="R699" i="1"/>
  <c r="I711" i="1"/>
  <c r="P745" i="1"/>
  <c r="L759" i="1"/>
  <c r="N715" i="1"/>
  <c r="P715" i="1" s="1"/>
  <c r="J772" i="1"/>
  <c r="R773" i="1"/>
  <c r="J777" i="1"/>
  <c r="L819" i="1"/>
  <c r="J819" i="1"/>
  <c r="O383" i="1"/>
  <c r="N381" i="1"/>
  <c r="O381" i="1" s="1"/>
  <c r="R696" i="1"/>
  <c r="Q696" i="1"/>
  <c r="M696" i="1"/>
  <c r="L696" i="1"/>
  <c r="P697" i="1"/>
  <c r="O697" i="1"/>
  <c r="P725" i="1"/>
  <c r="O725" i="1"/>
  <c r="L376" i="1"/>
  <c r="L662" i="1"/>
  <c r="H614" i="1"/>
  <c r="K693" i="1"/>
  <c r="R693" i="1" s="1"/>
  <c r="M712" i="1"/>
  <c r="K688" i="1"/>
  <c r="K682" i="1" s="1"/>
  <c r="L715" i="1"/>
  <c r="H691" i="1"/>
  <c r="Q715" i="1"/>
  <c r="P719" i="1"/>
  <c r="R747" i="1"/>
  <c r="J715" i="1"/>
  <c r="I691" i="1"/>
  <c r="R691" i="1" s="1"/>
  <c r="Q717" i="1"/>
  <c r="L249" i="1"/>
  <c r="R623" i="1"/>
  <c r="M623" i="1"/>
  <c r="K617" i="1"/>
  <c r="L623" i="1"/>
  <c r="P703" i="1"/>
  <c r="L708" i="1"/>
  <c r="Q708" i="1"/>
  <c r="K705" i="1"/>
  <c r="Q705" i="1" s="1"/>
  <c r="N714" i="1"/>
  <c r="P714" i="1" s="1"/>
  <c r="M715" i="1"/>
  <c r="L716" i="1"/>
  <c r="H692" i="1"/>
  <c r="Q716" i="1"/>
  <c r="J717" i="1"/>
  <c r="L735" i="1"/>
  <c r="G615" i="1"/>
  <c r="O635" i="1"/>
  <c r="N633" i="1"/>
  <c r="P633" i="1" s="1"/>
  <c r="I657" i="1"/>
  <c r="G614" i="1"/>
  <c r="R695" i="1"/>
  <c r="M695" i="1"/>
  <c r="Q695" i="1"/>
  <c r="O696" i="1"/>
  <c r="O702" i="1"/>
  <c r="N699" i="1"/>
  <c r="P699" i="1" s="1"/>
  <c r="P702" i="1"/>
  <c r="M708" i="1"/>
  <c r="H711" i="1"/>
  <c r="J716" i="1"/>
  <c r="I692" i="1"/>
  <c r="M717" i="1"/>
  <c r="P732" i="1"/>
  <c r="N729" i="1"/>
  <c r="P729" i="1" s="1"/>
  <c r="P733" i="1"/>
  <c r="O733" i="1"/>
  <c r="Q735" i="1"/>
  <c r="P743" i="1"/>
  <c r="O743" i="1"/>
  <c r="J753" i="1"/>
  <c r="M633" i="1"/>
  <c r="R662" i="1"/>
  <c r="M699" i="1"/>
  <c r="L753" i="1"/>
  <c r="M759" i="1"/>
  <c r="N765" i="1"/>
  <c r="P765" i="1" s="1"/>
  <c r="Q773" i="1"/>
  <c r="Q775" i="1"/>
  <c r="R777" i="1"/>
  <c r="M377" i="1"/>
  <c r="L379" i="1"/>
  <c r="Q381" i="1"/>
  <c r="I615" i="1"/>
  <c r="N639" i="1"/>
  <c r="P639" i="1" s="1"/>
  <c r="K657" i="1"/>
  <c r="G657" i="1"/>
  <c r="M663" i="1"/>
  <c r="P701" i="1"/>
  <c r="L712" i="1"/>
  <c r="Q712" i="1"/>
  <c r="O744" i="1"/>
  <c r="P750" i="1"/>
  <c r="P757" i="1"/>
  <c r="O773" i="1"/>
  <c r="O776" i="1"/>
  <c r="P781" i="1"/>
  <c r="P708" i="1"/>
  <c r="O708" i="1"/>
  <c r="R735" i="1"/>
  <c r="J735" i="1"/>
  <c r="L741" i="1"/>
  <c r="M741" i="1"/>
  <c r="R741" i="1"/>
  <c r="O755" i="1"/>
  <c r="P755" i="1"/>
  <c r="P716" i="1"/>
  <c r="P739" i="1"/>
  <c r="Q741" i="1"/>
  <c r="O754" i="1"/>
  <c r="P754" i="1"/>
  <c r="I682" i="1"/>
  <c r="J699" i="1"/>
  <c r="Q707" i="1"/>
  <c r="M707" i="1"/>
  <c r="L707" i="1"/>
  <c r="R715" i="1"/>
  <c r="R716" i="1"/>
  <c r="R717" i="1"/>
  <c r="J723" i="1"/>
  <c r="N723" i="1"/>
  <c r="O723" i="1" s="1"/>
  <c r="P726" i="1"/>
  <c r="P727" i="1"/>
  <c r="Q729" i="1"/>
  <c r="M729" i="1"/>
  <c r="L729" i="1"/>
  <c r="N735" i="1"/>
  <c r="N753" i="1"/>
  <c r="O753" i="1" s="1"/>
  <c r="O756" i="1"/>
  <c r="P756" i="1"/>
  <c r="G771" i="1"/>
  <c r="K771" i="1"/>
  <c r="O772" i="1"/>
  <c r="P707" i="1"/>
  <c r="M753" i="1"/>
  <c r="R753" i="1"/>
  <c r="M765" i="1"/>
  <c r="R765" i="1"/>
  <c r="L699" i="1"/>
  <c r="O707" i="1"/>
  <c r="P709" i="1"/>
  <c r="O709" i="1"/>
  <c r="J765" i="1"/>
  <c r="O766" i="1"/>
  <c r="P766" i="1"/>
  <c r="I684" i="1"/>
  <c r="J688" i="1"/>
  <c r="J689" i="1"/>
  <c r="N692" i="1"/>
  <c r="J693" i="1"/>
  <c r="J705" i="1"/>
  <c r="N712" i="1"/>
  <c r="O712" i="1" s="1"/>
  <c r="R725" i="1"/>
  <c r="Q725" i="1"/>
  <c r="K713" i="1"/>
  <c r="M713" i="1" s="1"/>
  <c r="Q726" i="1"/>
  <c r="M726" i="1"/>
  <c r="L726" i="1"/>
  <c r="R729" i="1"/>
  <c r="M735" i="1"/>
  <c r="O739" i="1"/>
  <c r="Q747" i="1"/>
  <c r="O767" i="1"/>
  <c r="P767" i="1"/>
  <c r="O768" i="1"/>
  <c r="P768" i="1"/>
  <c r="O769" i="1"/>
  <c r="P769" i="1"/>
  <c r="O716" i="1"/>
  <c r="P737" i="1"/>
  <c r="Q772" i="1"/>
  <c r="P772" i="1"/>
  <c r="Q774" i="1"/>
  <c r="Q776" i="1"/>
  <c r="P776" i="1"/>
  <c r="P738" i="1"/>
  <c r="R759" i="1"/>
  <c r="J759" i="1"/>
  <c r="O761" i="1"/>
  <c r="N759" i="1"/>
  <c r="P761" i="1"/>
  <c r="O762" i="1"/>
  <c r="P762" i="1"/>
  <c r="O763" i="1"/>
  <c r="P763" i="1"/>
  <c r="L777" i="1"/>
  <c r="Q376" i="1"/>
  <c r="M381" i="1"/>
  <c r="P383" i="1"/>
  <c r="N614" i="1"/>
  <c r="K618" i="1"/>
  <c r="N619" i="1"/>
  <c r="N613" i="1" s="1"/>
  <c r="Q623" i="1"/>
  <c r="O624" i="1"/>
  <c r="O618" i="1" s="1"/>
  <c r="O612" i="1" s="1"/>
  <c r="P630" i="1"/>
  <c r="R633" i="1"/>
  <c r="M639" i="1"/>
  <c r="O641" i="1"/>
  <c r="R659" i="1"/>
  <c r="L660" i="1"/>
  <c r="M661" i="1"/>
  <c r="M662" i="1"/>
  <c r="N663" i="1"/>
  <c r="P663" i="1" s="1"/>
  <c r="P664" i="1"/>
  <c r="O249" i="1"/>
  <c r="L377" i="1"/>
  <c r="R396" i="1"/>
  <c r="Q616" i="1"/>
  <c r="N617" i="1"/>
  <c r="N611" i="1" s="1"/>
  <c r="N621" i="1"/>
  <c r="P621" i="1" s="1"/>
  <c r="O623" i="1"/>
  <c r="L624" i="1"/>
  <c r="Q627" i="1"/>
  <c r="L633" i="1"/>
  <c r="P640" i="1"/>
  <c r="R660" i="1"/>
  <c r="O661" i="1"/>
  <c r="L663" i="1"/>
  <c r="R249" i="1"/>
  <c r="Q377" i="1"/>
  <c r="Q379" i="1"/>
  <c r="M396" i="1"/>
  <c r="R465" i="1"/>
  <c r="K614" i="1"/>
  <c r="L616" i="1"/>
  <c r="Q620" i="1"/>
  <c r="R620" i="1"/>
  <c r="P623" i="1"/>
  <c r="P658" i="1"/>
  <c r="Q658" i="1"/>
  <c r="P661" i="1"/>
  <c r="M619" i="1"/>
  <c r="L619" i="1"/>
  <c r="R619" i="1"/>
  <c r="J617" i="1"/>
  <c r="J618" i="1"/>
  <c r="J619" i="1"/>
  <c r="J620" i="1"/>
  <c r="R627" i="1"/>
  <c r="J627" i="1"/>
  <c r="Q661" i="1"/>
  <c r="P662" i="1"/>
  <c r="R663" i="1"/>
  <c r="J663" i="1"/>
  <c r="H615" i="1"/>
  <c r="O620" i="1"/>
  <c r="Q633" i="1"/>
  <c r="Q639" i="1"/>
  <c r="J639" i="1"/>
  <c r="R658" i="1"/>
  <c r="J658" i="1"/>
  <c r="L659" i="1"/>
  <c r="M616" i="1"/>
  <c r="L620" i="1"/>
  <c r="P620" i="1"/>
  <c r="L625" i="1"/>
  <c r="K621" i="1"/>
  <c r="R625" i="1"/>
  <c r="Q625" i="1"/>
  <c r="M625" i="1"/>
  <c r="Q659" i="1"/>
  <c r="H657" i="1"/>
  <c r="Q662" i="1"/>
  <c r="J662" i="1"/>
  <c r="J616" i="1"/>
  <c r="J621" i="1"/>
  <c r="M658" i="1"/>
  <c r="Q660" i="1"/>
  <c r="L661" i="1"/>
  <c r="R624" i="1"/>
  <c r="J633" i="1"/>
  <c r="J659" i="1"/>
  <c r="J660" i="1"/>
  <c r="J661" i="1"/>
  <c r="L627" i="1"/>
  <c r="L658" i="1"/>
  <c r="O664" i="1"/>
  <c r="M624" i="1"/>
  <c r="P625" i="1"/>
  <c r="P641" i="1"/>
  <c r="P665" i="1"/>
  <c r="L465" i="1"/>
  <c r="M465" i="1"/>
  <c r="Q465" i="1"/>
  <c r="J465" i="1"/>
  <c r="O380" i="1"/>
  <c r="N387" i="1"/>
  <c r="P389" i="1"/>
  <c r="N377" i="1"/>
  <c r="J378" i="1"/>
  <c r="R380" i="1"/>
  <c r="J380" i="1"/>
  <c r="J381" i="1"/>
  <c r="O379" i="1"/>
  <c r="L387" i="1"/>
  <c r="O389" i="1"/>
  <c r="H375" i="1"/>
  <c r="R376" i="1"/>
  <c r="J376" i="1"/>
  <c r="R377" i="1"/>
  <c r="J377" i="1"/>
  <c r="R379" i="1"/>
  <c r="J379" i="1"/>
  <c r="P380" i="1"/>
  <c r="R381" i="1"/>
  <c r="Q387" i="1"/>
  <c r="N393" i="1"/>
  <c r="P395" i="1"/>
  <c r="I375" i="1"/>
  <c r="L380" i="1"/>
  <c r="Q380" i="1"/>
  <c r="R387" i="1"/>
  <c r="O376" i="1"/>
  <c r="O395" i="1"/>
  <c r="P396" i="1"/>
  <c r="O396" i="1"/>
  <c r="O378" i="1" s="1"/>
  <c r="N378" i="1"/>
  <c r="P378" i="1" s="1"/>
  <c r="K378" i="1"/>
  <c r="Q378" i="1" s="1"/>
  <c r="J387" i="1"/>
  <c r="J393" i="1"/>
  <c r="M249" i="1"/>
  <c r="Q249" i="1"/>
  <c r="P251" i="1"/>
  <c r="P249" i="1"/>
  <c r="O251" i="1"/>
  <c r="R172" i="1"/>
  <c r="Q172" i="1"/>
  <c r="P172" i="1"/>
  <c r="O172" i="1"/>
  <c r="M172" i="1"/>
  <c r="L172" i="1"/>
  <c r="J172" i="1"/>
  <c r="R171" i="1"/>
  <c r="Q171" i="1"/>
  <c r="P171" i="1"/>
  <c r="O171" i="1"/>
  <c r="M171" i="1"/>
  <c r="L171" i="1"/>
  <c r="J171" i="1"/>
  <c r="R170" i="1"/>
  <c r="Q170" i="1"/>
  <c r="P170" i="1"/>
  <c r="O170" i="1"/>
  <c r="M170" i="1"/>
  <c r="L170" i="1"/>
  <c r="J170" i="1"/>
  <c r="R169" i="1"/>
  <c r="Q169" i="1"/>
  <c r="N169" i="1"/>
  <c r="O169" i="1" s="1"/>
  <c r="M169" i="1"/>
  <c r="L169" i="1"/>
  <c r="J169" i="1"/>
  <c r="R168" i="1"/>
  <c r="Q168" i="1"/>
  <c r="P168" i="1"/>
  <c r="O168" i="1"/>
  <c r="M168" i="1"/>
  <c r="L168" i="1"/>
  <c r="J168" i="1"/>
  <c r="K167" i="1"/>
  <c r="I167" i="1"/>
  <c r="H167" i="1"/>
  <c r="G167" i="1"/>
  <c r="F167" i="1"/>
  <c r="E167" i="1"/>
  <c r="D167" i="1"/>
  <c r="R166" i="1"/>
  <c r="Q166" i="1"/>
  <c r="P166" i="1"/>
  <c r="O166" i="1"/>
  <c r="M166" i="1"/>
  <c r="L166" i="1"/>
  <c r="J166" i="1"/>
  <c r="R165" i="1"/>
  <c r="Q165" i="1"/>
  <c r="P165" i="1"/>
  <c r="O165" i="1"/>
  <c r="M165" i="1"/>
  <c r="L165" i="1"/>
  <c r="J165" i="1"/>
  <c r="R164" i="1"/>
  <c r="Q164" i="1"/>
  <c r="P164" i="1"/>
  <c r="O164" i="1"/>
  <c r="M164" i="1"/>
  <c r="L164" i="1"/>
  <c r="J164" i="1"/>
  <c r="R163" i="1"/>
  <c r="Q163" i="1"/>
  <c r="N163" i="1"/>
  <c r="M163" i="1"/>
  <c r="L163" i="1"/>
  <c r="R162" i="1"/>
  <c r="Q162" i="1"/>
  <c r="N162" i="1"/>
  <c r="N156" i="1" s="1"/>
  <c r="M162" i="1"/>
  <c r="L162" i="1"/>
  <c r="J162" i="1"/>
  <c r="K161" i="1"/>
  <c r="I161" i="1"/>
  <c r="H161" i="1"/>
  <c r="G161" i="1"/>
  <c r="F161" i="1"/>
  <c r="E161" i="1"/>
  <c r="D161" i="1"/>
  <c r="R202" i="1"/>
  <c r="Q202" i="1"/>
  <c r="P202" i="1"/>
  <c r="O202" i="1"/>
  <c r="M202" i="1"/>
  <c r="L202" i="1"/>
  <c r="J202" i="1"/>
  <c r="R201" i="1"/>
  <c r="Q201" i="1"/>
  <c r="P201" i="1"/>
  <c r="O201" i="1"/>
  <c r="M201" i="1"/>
  <c r="L201" i="1"/>
  <c r="J201" i="1"/>
  <c r="R200" i="1"/>
  <c r="Q200" i="1"/>
  <c r="P200" i="1"/>
  <c r="O200" i="1"/>
  <c r="M200" i="1"/>
  <c r="L200" i="1"/>
  <c r="J200" i="1"/>
  <c r="R199" i="1"/>
  <c r="Q199" i="1"/>
  <c r="N199" i="1"/>
  <c r="O199" i="1" s="1"/>
  <c r="M199" i="1"/>
  <c r="L199" i="1"/>
  <c r="J199" i="1"/>
  <c r="R198" i="1"/>
  <c r="Q198" i="1"/>
  <c r="P198" i="1"/>
  <c r="O198" i="1"/>
  <c r="M198" i="1"/>
  <c r="L198" i="1"/>
  <c r="J198" i="1"/>
  <c r="K197" i="1"/>
  <c r="I197" i="1"/>
  <c r="H197" i="1"/>
  <c r="G197" i="1"/>
  <c r="H937" i="1" l="1"/>
  <c r="M617" i="1"/>
  <c r="K611" i="1"/>
  <c r="L611" i="1" s="1"/>
  <c r="M771" i="1"/>
  <c r="O777" i="1"/>
  <c r="N157" i="1"/>
  <c r="O494" i="1"/>
  <c r="O491" i="1"/>
  <c r="P936" i="1"/>
  <c r="P465" i="1"/>
  <c r="O613" i="1"/>
  <c r="R618" i="1"/>
  <c r="K612" i="1"/>
  <c r="P617" i="1"/>
  <c r="P611" i="1"/>
  <c r="M941" i="1"/>
  <c r="H684" i="1"/>
  <c r="J684" i="1" s="1"/>
  <c r="H686" i="1"/>
  <c r="Q686" i="1" s="1"/>
  <c r="H685" i="1"/>
  <c r="Q685" i="1" s="1"/>
  <c r="P618" i="1"/>
  <c r="N612" i="1"/>
  <c r="P612" i="1" s="1"/>
  <c r="J611" i="1"/>
  <c r="R492" i="1"/>
  <c r="P777" i="1"/>
  <c r="H932" i="1"/>
  <c r="H931" i="1" s="1"/>
  <c r="O693" i="1"/>
  <c r="P946" i="1"/>
  <c r="N940" i="1"/>
  <c r="P940" i="1" s="1"/>
  <c r="L946" i="1"/>
  <c r="K940" i="1"/>
  <c r="L940" i="1" s="1"/>
  <c r="P945" i="1"/>
  <c r="N939" i="1"/>
  <c r="P939" i="1" s="1"/>
  <c r="I685" i="1"/>
  <c r="R685" i="1" s="1"/>
  <c r="L688" i="1"/>
  <c r="M688" i="1"/>
  <c r="L936" i="1"/>
  <c r="P775" i="1"/>
  <c r="Q682" i="1"/>
  <c r="L682" i="1"/>
  <c r="J936" i="1"/>
  <c r="Q492" i="1"/>
  <c r="P660" i="1"/>
  <c r="O717" i="1"/>
  <c r="M692" i="1"/>
  <c r="M939" i="1"/>
  <c r="N657" i="1"/>
  <c r="P657" i="1" s="1"/>
  <c r="I933" i="1"/>
  <c r="G937" i="1"/>
  <c r="M691" i="1"/>
  <c r="L938" i="1"/>
  <c r="O933" i="1"/>
  <c r="L935" i="1"/>
  <c r="J939" i="1"/>
  <c r="O942" i="1"/>
  <c r="J495" i="1"/>
  <c r="L955" i="1"/>
  <c r="Q393" i="1"/>
  <c r="O513" i="1"/>
  <c r="O741" i="1"/>
  <c r="P659" i="1"/>
  <c r="P613" i="1"/>
  <c r="J691" i="1"/>
  <c r="Q723" i="1"/>
  <c r="J614" i="1"/>
  <c r="O715" i="1"/>
  <c r="Q494" i="1"/>
  <c r="R393" i="1"/>
  <c r="N167" i="1"/>
  <c r="O167" i="1" s="1"/>
  <c r="R723" i="1"/>
  <c r="O713" i="1"/>
  <c r="O714" i="1"/>
  <c r="L393" i="1"/>
  <c r="O627" i="1"/>
  <c r="P616" i="1"/>
  <c r="K943" i="1"/>
  <c r="J711" i="1"/>
  <c r="Q771" i="1"/>
  <c r="O774" i="1"/>
  <c r="J943" i="1"/>
  <c r="N771" i="1"/>
  <c r="P771" i="1" s="1"/>
  <c r="P614" i="1"/>
  <c r="M946" i="1"/>
  <c r="N197" i="1"/>
  <c r="O197" i="1" s="1"/>
  <c r="Q691" i="1"/>
  <c r="Q688" i="1"/>
  <c r="Q692" i="1"/>
  <c r="M197" i="1"/>
  <c r="Q614" i="1"/>
  <c r="L723" i="1"/>
  <c r="R657" i="1"/>
  <c r="L497" i="1"/>
  <c r="Q491" i="1"/>
  <c r="R705" i="1"/>
  <c r="N943" i="1"/>
  <c r="P943" i="1" s="1"/>
  <c r="I686" i="1"/>
  <c r="M686" i="1" s="1"/>
  <c r="O729" i="1"/>
  <c r="O705" i="1"/>
  <c r="Q497" i="1"/>
  <c r="J494" i="1"/>
  <c r="N161" i="1"/>
  <c r="P161" i="1" s="1"/>
  <c r="P619" i="1"/>
  <c r="M705" i="1"/>
  <c r="J492" i="1"/>
  <c r="Q543" i="1"/>
  <c r="M497" i="1"/>
  <c r="P938" i="1"/>
  <c r="O498" i="1"/>
  <c r="O492" i="1" s="1"/>
  <c r="N690" i="1"/>
  <c r="N684" i="1" s="1"/>
  <c r="P941" i="1"/>
  <c r="J491" i="1"/>
  <c r="L501" i="1"/>
  <c r="R501" i="1"/>
  <c r="M501" i="1"/>
  <c r="L614" i="1"/>
  <c r="R617" i="1"/>
  <c r="O747" i="1"/>
  <c r="O692" i="1"/>
  <c r="J690" i="1"/>
  <c r="L692" i="1"/>
  <c r="M657" i="1"/>
  <c r="R692" i="1"/>
  <c r="L941" i="1"/>
  <c r="P944" i="1"/>
  <c r="J657" i="1"/>
  <c r="L617" i="1"/>
  <c r="Q617" i="1"/>
  <c r="J692" i="1"/>
  <c r="L691" i="1"/>
  <c r="L705" i="1"/>
  <c r="Q693" i="1"/>
  <c r="G609" i="1"/>
  <c r="L939" i="1"/>
  <c r="K495" i="1"/>
  <c r="M495" i="1" s="1"/>
  <c r="R497" i="1"/>
  <c r="P494" i="1"/>
  <c r="Q493" i="1"/>
  <c r="L493" i="1"/>
  <c r="P493" i="1"/>
  <c r="M494" i="1"/>
  <c r="L494" i="1"/>
  <c r="M543" i="1"/>
  <c r="L543" i="1"/>
  <c r="J493" i="1"/>
  <c r="R494" i="1"/>
  <c r="P491" i="1"/>
  <c r="O499" i="1"/>
  <c r="O493" i="1" s="1"/>
  <c r="P495" i="1"/>
  <c r="P543" i="1"/>
  <c r="O501" i="1"/>
  <c r="Q490" i="1"/>
  <c r="L490" i="1"/>
  <c r="H489" i="1"/>
  <c r="N489" i="1"/>
  <c r="P490" i="1"/>
  <c r="P492" i="1"/>
  <c r="M513" i="1"/>
  <c r="L513" i="1"/>
  <c r="R513" i="1"/>
  <c r="L492" i="1"/>
  <c r="O633" i="1"/>
  <c r="Q613" i="1"/>
  <c r="J613" i="1"/>
  <c r="O663" i="1"/>
  <c r="R161" i="1"/>
  <c r="Q618" i="1"/>
  <c r="N691" i="1"/>
  <c r="O691" i="1" s="1"/>
  <c r="N689" i="1"/>
  <c r="N683" i="1" s="1"/>
  <c r="O955" i="1"/>
  <c r="L618" i="1"/>
  <c r="K615" i="1"/>
  <c r="Q615" i="1" s="1"/>
  <c r="H609" i="1"/>
  <c r="J771" i="1"/>
  <c r="I932" i="1"/>
  <c r="J938" i="1"/>
  <c r="M938" i="1"/>
  <c r="I937" i="1"/>
  <c r="I935" i="1"/>
  <c r="J941" i="1"/>
  <c r="I934" i="1"/>
  <c r="J940" i="1"/>
  <c r="O944" i="1"/>
  <c r="O938" i="1" s="1"/>
  <c r="O949" i="1"/>
  <c r="P935" i="1"/>
  <c r="O819" i="1"/>
  <c r="R167" i="1"/>
  <c r="J167" i="1"/>
  <c r="P381" i="1"/>
  <c r="O639" i="1"/>
  <c r="H687" i="1"/>
  <c r="J161" i="1"/>
  <c r="M167" i="1"/>
  <c r="O377" i="1"/>
  <c r="N615" i="1"/>
  <c r="P615" i="1" s="1"/>
  <c r="O617" i="1"/>
  <c r="M693" i="1"/>
  <c r="I687" i="1"/>
  <c r="O765" i="1"/>
  <c r="L693" i="1"/>
  <c r="G683" i="1"/>
  <c r="G681" i="1" s="1"/>
  <c r="O699" i="1"/>
  <c r="R688" i="1"/>
  <c r="P759" i="1"/>
  <c r="P735" i="1"/>
  <c r="L713" i="1"/>
  <c r="K711" i="1"/>
  <c r="K689" i="1"/>
  <c r="Q713" i="1"/>
  <c r="N686" i="1"/>
  <c r="P692" i="1"/>
  <c r="P753" i="1"/>
  <c r="O735" i="1"/>
  <c r="P723" i="1"/>
  <c r="R713" i="1"/>
  <c r="O759" i="1"/>
  <c r="J682" i="1"/>
  <c r="R682" i="1"/>
  <c r="L714" i="1"/>
  <c r="R714" i="1"/>
  <c r="Q714" i="1"/>
  <c r="K690" i="1"/>
  <c r="M714" i="1"/>
  <c r="P712" i="1"/>
  <c r="N688" i="1"/>
  <c r="N711" i="1"/>
  <c r="J683" i="1"/>
  <c r="L771" i="1"/>
  <c r="R771" i="1"/>
  <c r="M682" i="1"/>
  <c r="P162" i="1"/>
  <c r="P163" i="1"/>
  <c r="O621" i="1"/>
  <c r="L197" i="1"/>
  <c r="M161" i="1"/>
  <c r="M614" i="1"/>
  <c r="R614" i="1"/>
  <c r="R197" i="1"/>
  <c r="J612" i="1"/>
  <c r="M618" i="1"/>
  <c r="L621" i="1"/>
  <c r="Q621" i="1"/>
  <c r="M621" i="1"/>
  <c r="I609" i="1"/>
  <c r="R610" i="1"/>
  <c r="J610" i="1"/>
  <c r="M613" i="1"/>
  <c r="L613" i="1"/>
  <c r="R613" i="1"/>
  <c r="Q657" i="1"/>
  <c r="L657" i="1"/>
  <c r="O614" i="1"/>
  <c r="M610" i="1"/>
  <c r="L610" i="1"/>
  <c r="R621" i="1"/>
  <c r="Q610" i="1"/>
  <c r="O658" i="1"/>
  <c r="O610" i="1" s="1"/>
  <c r="J615" i="1"/>
  <c r="P387" i="1"/>
  <c r="K375" i="1"/>
  <c r="M378" i="1"/>
  <c r="L378" i="1"/>
  <c r="P393" i="1"/>
  <c r="O387" i="1"/>
  <c r="R378" i="1"/>
  <c r="N375" i="1"/>
  <c r="P377" i="1"/>
  <c r="J375" i="1"/>
  <c r="O393" i="1"/>
  <c r="L167" i="1"/>
  <c r="O162" i="1"/>
  <c r="O163" i="1"/>
  <c r="P169" i="1"/>
  <c r="L161" i="1"/>
  <c r="Q161" i="1"/>
  <c r="Q167" i="1"/>
  <c r="P199" i="1"/>
  <c r="Q197" i="1"/>
  <c r="J197" i="1"/>
  <c r="N115" i="1"/>
  <c r="N109" i="1" s="1"/>
  <c r="N117" i="1"/>
  <c r="N111" i="1" s="1"/>
  <c r="N118" i="1"/>
  <c r="N112" i="1" s="1"/>
  <c r="N114" i="1"/>
  <c r="N108" i="1" s="1"/>
  <c r="K115" i="1"/>
  <c r="K109" i="1" s="1"/>
  <c r="K116" i="1"/>
  <c r="K110" i="1" s="1"/>
  <c r="K117" i="1"/>
  <c r="K111" i="1" s="1"/>
  <c r="K118" i="1"/>
  <c r="K112" i="1" s="1"/>
  <c r="K114" i="1"/>
  <c r="K108" i="1" s="1"/>
  <c r="I114" i="1"/>
  <c r="I108" i="1" s="1"/>
  <c r="H114" i="1"/>
  <c r="H108" i="1" s="1"/>
  <c r="H115" i="1"/>
  <c r="H109" i="1" s="1"/>
  <c r="H116" i="1"/>
  <c r="H110" i="1" s="1"/>
  <c r="H117" i="1"/>
  <c r="H111" i="1" s="1"/>
  <c r="H118" i="1"/>
  <c r="H112" i="1" s="1"/>
  <c r="G115" i="1"/>
  <c r="G109" i="1" s="1"/>
  <c r="G116" i="1"/>
  <c r="G110" i="1" s="1"/>
  <c r="G117" i="1"/>
  <c r="G111" i="1" s="1"/>
  <c r="G118" i="1"/>
  <c r="G112" i="1" s="1"/>
  <c r="G114" i="1"/>
  <c r="G108" i="1" s="1"/>
  <c r="N122" i="1"/>
  <c r="N116" i="1" s="1"/>
  <c r="P130" i="1"/>
  <c r="O130" i="1"/>
  <c r="M130" i="1"/>
  <c r="L130" i="1"/>
  <c r="J130" i="1"/>
  <c r="P129" i="1"/>
  <c r="O129" i="1"/>
  <c r="M129" i="1"/>
  <c r="L129" i="1"/>
  <c r="J129" i="1"/>
  <c r="P128" i="1"/>
  <c r="O128" i="1"/>
  <c r="M128" i="1"/>
  <c r="L128" i="1"/>
  <c r="J128" i="1"/>
  <c r="P127" i="1"/>
  <c r="O127" i="1"/>
  <c r="M127" i="1"/>
  <c r="L127" i="1"/>
  <c r="J127" i="1"/>
  <c r="P126" i="1"/>
  <c r="O126" i="1"/>
  <c r="M126" i="1"/>
  <c r="L126" i="1"/>
  <c r="J126" i="1"/>
  <c r="N125" i="1"/>
  <c r="K125" i="1"/>
  <c r="I125" i="1"/>
  <c r="H125" i="1"/>
  <c r="G125" i="1"/>
  <c r="F125" i="1"/>
  <c r="E125" i="1"/>
  <c r="D125" i="1"/>
  <c r="I115" i="1"/>
  <c r="I109" i="1" s="1"/>
  <c r="I116" i="1"/>
  <c r="I110" i="1" s="1"/>
  <c r="I117" i="1"/>
  <c r="I111" i="1" s="1"/>
  <c r="I118" i="1"/>
  <c r="I112" i="1" s="1"/>
  <c r="L122" i="1"/>
  <c r="L123" i="1"/>
  <c r="J122" i="1"/>
  <c r="J123" i="1"/>
  <c r="G119" i="1"/>
  <c r="P124" i="1"/>
  <c r="O124" i="1"/>
  <c r="M124" i="1"/>
  <c r="L124" i="1"/>
  <c r="J124" i="1"/>
  <c r="P123" i="1"/>
  <c r="O123" i="1"/>
  <c r="M123" i="1"/>
  <c r="M122" i="1"/>
  <c r="P121" i="1"/>
  <c r="O121" i="1"/>
  <c r="M121" i="1"/>
  <c r="L121" i="1"/>
  <c r="J121" i="1"/>
  <c r="P120" i="1"/>
  <c r="O120" i="1"/>
  <c r="M120" i="1"/>
  <c r="L120" i="1"/>
  <c r="J120" i="1"/>
  <c r="K119" i="1"/>
  <c r="I119" i="1"/>
  <c r="H119" i="1"/>
  <c r="F119" i="1"/>
  <c r="E119" i="1"/>
  <c r="D119" i="1"/>
  <c r="N92" i="1"/>
  <c r="N44" i="1" s="1"/>
  <c r="N94" i="1"/>
  <c r="N46" i="1" s="1"/>
  <c r="N90" i="1"/>
  <c r="N42" i="1" s="1"/>
  <c r="K94" i="1"/>
  <c r="K46" i="1" s="1"/>
  <c r="K93" i="1"/>
  <c r="K45" i="1" s="1"/>
  <c r="K92" i="1"/>
  <c r="K44" i="1" s="1"/>
  <c r="K38" i="1" s="1"/>
  <c r="K91" i="1"/>
  <c r="K43" i="1" s="1"/>
  <c r="K90" i="1"/>
  <c r="K42" i="1" s="1"/>
  <c r="G91" i="1"/>
  <c r="G43" i="1" s="1"/>
  <c r="H91" i="1"/>
  <c r="H43" i="1" s="1"/>
  <c r="I91" i="1"/>
  <c r="I43" i="1" s="1"/>
  <c r="I37" i="1" s="1"/>
  <c r="G92" i="1"/>
  <c r="G44" i="1" s="1"/>
  <c r="H92" i="1"/>
  <c r="H44" i="1" s="1"/>
  <c r="H38" i="1" s="1"/>
  <c r="I92" i="1"/>
  <c r="I44" i="1" s="1"/>
  <c r="G93" i="1"/>
  <c r="G45" i="1" s="1"/>
  <c r="H93" i="1"/>
  <c r="H45" i="1" s="1"/>
  <c r="I93" i="1"/>
  <c r="I45" i="1" s="1"/>
  <c r="G94" i="1"/>
  <c r="G46" i="1" s="1"/>
  <c r="H94" i="1"/>
  <c r="H46" i="1" s="1"/>
  <c r="I94" i="1"/>
  <c r="I46" i="1" s="1"/>
  <c r="H90" i="1"/>
  <c r="H42" i="1" s="1"/>
  <c r="I90" i="1"/>
  <c r="I42" i="1" s="1"/>
  <c r="G90" i="1"/>
  <c r="G42" i="1" s="1"/>
  <c r="I38" i="1" l="1"/>
  <c r="H37" i="1"/>
  <c r="K37" i="1"/>
  <c r="G38" i="1"/>
  <c r="G37" i="1"/>
  <c r="J109" i="1"/>
  <c r="M109" i="1"/>
  <c r="L109" i="1"/>
  <c r="L932" i="1"/>
  <c r="L685" i="1"/>
  <c r="J685" i="1"/>
  <c r="H681" i="1"/>
  <c r="L686" i="1"/>
  <c r="O611" i="1"/>
  <c r="M685" i="1"/>
  <c r="O161" i="1"/>
  <c r="P167" i="1"/>
  <c r="O771" i="1"/>
  <c r="G931" i="1"/>
  <c r="O657" i="1"/>
  <c r="K934" i="1"/>
  <c r="M933" i="1"/>
  <c r="N933" i="1"/>
  <c r="N934" i="1"/>
  <c r="P934" i="1" s="1"/>
  <c r="Q611" i="1"/>
  <c r="K937" i="1"/>
  <c r="L937" i="1" s="1"/>
  <c r="O936" i="1"/>
  <c r="M940" i="1"/>
  <c r="O375" i="1"/>
  <c r="J686" i="1"/>
  <c r="M943" i="1"/>
  <c r="L943" i="1"/>
  <c r="J687" i="1"/>
  <c r="N932" i="1"/>
  <c r="P932" i="1" s="1"/>
  <c r="P197" i="1"/>
  <c r="P116" i="1"/>
  <c r="N110" i="1"/>
  <c r="N38" i="1" s="1"/>
  <c r="R611" i="1"/>
  <c r="I681" i="1"/>
  <c r="R686" i="1"/>
  <c r="M611" i="1"/>
  <c r="L495" i="1"/>
  <c r="N937" i="1"/>
  <c r="P937" i="1" s="1"/>
  <c r="L615" i="1"/>
  <c r="P117" i="1"/>
  <c r="P691" i="1"/>
  <c r="O690" i="1"/>
  <c r="P690" i="1"/>
  <c r="Q495" i="1"/>
  <c r="R491" i="1"/>
  <c r="M491" i="1"/>
  <c r="K489" i="1"/>
  <c r="L489" i="1" s="1"/>
  <c r="L491" i="1"/>
  <c r="N685" i="1"/>
  <c r="O685" i="1" s="1"/>
  <c r="O495" i="1"/>
  <c r="R495" i="1"/>
  <c r="P489" i="1"/>
  <c r="J489" i="1"/>
  <c r="O489" i="1"/>
  <c r="R615" i="1"/>
  <c r="M615" i="1"/>
  <c r="O689" i="1"/>
  <c r="P689" i="1"/>
  <c r="L933" i="1"/>
  <c r="J933" i="1"/>
  <c r="J934" i="1"/>
  <c r="J935" i="1"/>
  <c r="M935" i="1"/>
  <c r="O935" i="1"/>
  <c r="O943" i="1"/>
  <c r="J937" i="1"/>
  <c r="I931" i="1"/>
  <c r="J932" i="1"/>
  <c r="M932" i="1"/>
  <c r="O934" i="1"/>
  <c r="P118" i="1"/>
  <c r="O615" i="1"/>
  <c r="P686" i="1"/>
  <c r="P683" i="1"/>
  <c r="O683" i="1"/>
  <c r="N687" i="1"/>
  <c r="P688" i="1"/>
  <c r="N682" i="1"/>
  <c r="O688" i="1"/>
  <c r="M690" i="1"/>
  <c r="L690" i="1"/>
  <c r="K684" i="1"/>
  <c r="R690" i="1"/>
  <c r="Q690" i="1"/>
  <c r="L711" i="1"/>
  <c r="M711" i="1"/>
  <c r="Q711" i="1"/>
  <c r="R711" i="1"/>
  <c r="O686" i="1"/>
  <c r="P711" i="1"/>
  <c r="O711" i="1"/>
  <c r="P684" i="1"/>
  <c r="O684" i="1"/>
  <c r="K683" i="1"/>
  <c r="K687" i="1"/>
  <c r="M689" i="1"/>
  <c r="L689" i="1"/>
  <c r="R689" i="1"/>
  <c r="Q689" i="1"/>
  <c r="P122" i="1"/>
  <c r="M612" i="1"/>
  <c r="Q612" i="1"/>
  <c r="L612" i="1"/>
  <c r="N609" i="1"/>
  <c r="P609" i="1" s="1"/>
  <c r="P610" i="1"/>
  <c r="R612" i="1"/>
  <c r="N119" i="1"/>
  <c r="O119" i="1" s="1"/>
  <c r="O122" i="1"/>
  <c r="P115" i="1"/>
  <c r="K609" i="1"/>
  <c r="L609" i="1" s="1"/>
  <c r="J609" i="1"/>
  <c r="P375" i="1"/>
  <c r="M375" i="1"/>
  <c r="L375" i="1"/>
  <c r="Q375" i="1"/>
  <c r="R375" i="1"/>
  <c r="K113" i="1"/>
  <c r="M119" i="1"/>
  <c r="H113" i="1"/>
  <c r="I113" i="1"/>
  <c r="O125" i="1"/>
  <c r="M125" i="1"/>
  <c r="P114" i="1"/>
  <c r="N113" i="1"/>
  <c r="G113" i="1"/>
  <c r="J125" i="1"/>
  <c r="L125" i="1"/>
  <c r="P125" i="1"/>
  <c r="J119" i="1"/>
  <c r="L119" i="1"/>
  <c r="K931" i="1" l="1"/>
  <c r="J681" i="1"/>
  <c r="M937" i="1"/>
  <c r="M934" i="1"/>
  <c r="L934" i="1"/>
  <c r="P933" i="1"/>
  <c r="N931" i="1"/>
  <c r="P931" i="1" s="1"/>
  <c r="P685" i="1"/>
  <c r="Q609" i="1"/>
  <c r="Q489" i="1"/>
  <c r="M609" i="1"/>
  <c r="M489" i="1"/>
  <c r="R489" i="1"/>
  <c r="R609" i="1"/>
  <c r="O937" i="1"/>
  <c r="O932" i="1"/>
  <c r="J931" i="1"/>
  <c r="P119" i="1"/>
  <c r="M684" i="1"/>
  <c r="L684" i="1"/>
  <c r="Q684" i="1"/>
  <c r="R684" i="1"/>
  <c r="M687" i="1"/>
  <c r="L687" i="1"/>
  <c r="Q687" i="1"/>
  <c r="R687" i="1"/>
  <c r="P682" i="1"/>
  <c r="N681" i="1"/>
  <c r="O682" i="1"/>
  <c r="P687" i="1"/>
  <c r="O687" i="1"/>
  <c r="M683" i="1"/>
  <c r="L683" i="1"/>
  <c r="K681" i="1"/>
  <c r="Q683" i="1"/>
  <c r="R683" i="1"/>
  <c r="O609" i="1"/>
  <c r="P113" i="1"/>
  <c r="L931" i="1" l="1"/>
  <c r="M931" i="1"/>
  <c r="O931" i="1"/>
  <c r="L681" i="1"/>
  <c r="M681" i="1"/>
  <c r="Q681" i="1"/>
  <c r="R681" i="1"/>
  <c r="P681" i="1"/>
  <c r="O681" i="1"/>
  <c r="G203" i="1" l="1"/>
  <c r="I813" i="1" l="1"/>
  <c r="O175" i="1" l="1"/>
  <c r="K813" i="1" l="1"/>
  <c r="L421" i="1" l="1"/>
  <c r="L420" i="1" l="1"/>
  <c r="L419" i="1"/>
  <c r="G415" i="1"/>
  <c r="K415" i="1"/>
  <c r="G414" i="1"/>
  <c r="K412" i="1"/>
  <c r="K416" i="1"/>
  <c r="K413" i="1"/>
  <c r="G416" i="1"/>
  <c r="K414" i="1"/>
  <c r="K807" i="1"/>
  <c r="H416" i="1" l="1"/>
  <c r="H415" i="1"/>
  <c r="H412" i="1"/>
  <c r="I413" i="1"/>
  <c r="H413" i="1"/>
  <c r="I416" i="1"/>
  <c r="H414" i="1"/>
  <c r="I414" i="1"/>
  <c r="I415" i="1"/>
  <c r="I412" i="1"/>
  <c r="N416" i="1"/>
  <c r="N228" i="1" l="1"/>
  <c r="N227" i="1"/>
  <c r="P205" i="1" l="1"/>
  <c r="P204" i="1"/>
  <c r="N61" i="1" l="1"/>
  <c r="G423" i="1" l="1"/>
  <c r="P88" i="1" l="1"/>
  <c r="M88" i="1"/>
  <c r="L88" i="1"/>
  <c r="J88" i="1"/>
  <c r="P87" i="1"/>
  <c r="M87" i="1"/>
  <c r="L87" i="1"/>
  <c r="J87" i="1"/>
  <c r="P86" i="1"/>
  <c r="M86" i="1"/>
  <c r="L86" i="1"/>
  <c r="J86" i="1"/>
  <c r="P85" i="1"/>
  <c r="O85" i="1"/>
  <c r="M85" i="1"/>
  <c r="L85" i="1"/>
  <c r="J85" i="1"/>
  <c r="P84" i="1"/>
  <c r="M84" i="1"/>
  <c r="L84" i="1"/>
  <c r="J84" i="1"/>
  <c r="N83" i="1"/>
  <c r="K83" i="1"/>
  <c r="I83" i="1"/>
  <c r="H83" i="1"/>
  <c r="G83" i="1"/>
  <c r="O83" i="1" l="1"/>
  <c r="J83" i="1"/>
  <c r="L83" i="1"/>
  <c r="M83" i="1"/>
  <c r="P83" i="1"/>
  <c r="M421" i="1" l="1"/>
  <c r="K806" i="1" l="1"/>
  <c r="K802" i="1"/>
  <c r="K796" i="1" s="1"/>
  <c r="I805" i="1"/>
  <c r="G806" i="1"/>
  <c r="G802" i="1"/>
  <c r="G796" i="1" l="1"/>
  <c r="G801" i="1"/>
  <c r="I802" i="1"/>
  <c r="H802" i="1"/>
  <c r="K805" i="1"/>
  <c r="I806" i="1"/>
  <c r="H806" i="1"/>
  <c r="K77" i="1" l="1"/>
  <c r="O79" i="1" l="1"/>
  <c r="O77" i="1" l="1"/>
  <c r="P34" i="1"/>
  <c r="O34" i="1"/>
  <c r="M34" i="1"/>
  <c r="L34" i="1"/>
  <c r="J34" i="1"/>
  <c r="P33" i="1"/>
  <c r="O33" i="1"/>
  <c r="M33" i="1"/>
  <c r="J33" i="1"/>
  <c r="N32" i="1"/>
  <c r="N29" i="1" s="1"/>
  <c r="M32" i="1"/>
  <c r="L32" i="1"/>
  <c r="J32" i="1"/>
  <c r="P31" i="1"/>
  <c r="O31" i="1"/>
  <c r="M31" i="1"/>
  <c r="L31" i="1"/>
  <c r="J31" i="1"/>
  <c r="P30" i="1"/>
  <c r="O30" i="1"/>
  <c r="K29" i="1"/>
  <c r="I29" i="1"/>
  <c r="H29" i="1"/>
  <c r="F29" i="1"/>
  <c r="E29" i="1"/>
  <c r="D29" i="1"/>
  <c r="P52" i="1"/>
  <c r="O52" i="1"/>
  <c r="M52" i="1"/>
  <c r="L52" i="1"/>
  <c r="J52" i="1"/>
  <c r="P51" i="1"/>
  <c r="O51" i="1"/>
  <c r="M51" i="1"/>
  <c r="L51" i="1"/>
  <c r="J51" i="1"/>
  <c r="P50" i="1"/>
  <c r="O50" i="1"/>
  <c r="M50" i="1"/>
  <c r="L50" i="1"/>
  <c r="J50" i="1"/>
  <c r="P49" i="1"/>
  <c r="O49" i="1"/>
  <c r="M49" i="1"/>
  <c r="L49" i="1"/>
  <c r="J49" i="1"/>
  <c r="P48" i="1"/>
  <c r="O48" i="1"/>
  <c r="M48" i="1"/>
  <c r="L48" i="1"/>
  <c r="J48" i="1"/>
  <c r="N47" i="1"/>
  <c r="K47" i="1"/>
  <c r="H47" i="1"/>
  <c r="G47" i="1"/>
  <c r="F47" i="1"/>
  <c r="E47" i="1"/>
  <c r="D47" i="1"/>
  <c r="P64" i="1"/>
  <c r="O64" i="1"/>
  <c r="M64" i="1"/>
  <c r="L64" i="1"/>
  <c r="J64" i="1"/>
  <c r="P63" i="1"/>
  <c r="O63" i="1"/>
  <c r="M63" i="1"/>
  <c r="L63" i="1"/>
  <c r="J63" i="1"/>
  <c r="P62" i="1"/>
  <c r="O62" i="1"/>
  <c r="M62" i="1"/>
  <c r="L62" i="1"/>
  <c r="J62" i="1"/>
  <c r="P61" i="1"/>
  <c r="O61" i="1"/>
  <c r="M61" i="1"/>
  <c r="L61" i="1"/>
  <c r="J61" i="1"/>
  <c r="P60" i="1"/>
  <c r="O60" i="1"/>
  <c r="M60" i="1"/>
  <c r="L60" i="1"/>
  <c r="J60" i="1"/>
  <c r="N59" i="1"/>
  <c r="K59" i="1"/>
  <c r="I59" i="1"/>
  <c r="H59" i="1"/>
  <c r="G59" i="1"/>
  <c r="F59" i="1"/>
  <c r="E59" i="1"/>
  <c r="D59" i="1"/>
  <c r="P58" i="1"/>
  <c r="O58" i="1"/>
  <c r="M58" i="1"/>
  <c r="L58" i="1"/>
  <c r="J58" i="1"/>
  <c r="P57" i="1"/>
  <c r="O57" i="1"/>
  <c r="M57" i="1"/>
  <c r="L57" i="1"/>
  <c r="J57" i="1"/>
  <c r="P56" i="1"/>
  <c r="O56" i="1"/>
  <c r="M56" i="1"/>
  <c r="L56" i="1"/>
  <c r="J56" i="1"/>
  <c r="N55" i="1"/>
  <c r="M55" i="1"/>
  <c r="L55" i="1"/>
  <c r="J55" i="1"/>
  <c r="P54" i="1"/>
  <c r="O54" i="1"/>
  <c r="M54" i="1"/>
  <c r="L54" i="1"/>
  <c r="J54" i="1"/>
  <c r="K53" i="1"/>
  <c r="I53" i="1"/>
  <c r="H53" i="1"/>
  <c r="G53" i="1"/>
  <c r="F53" i="1"/>
  <c r="E53" i="1"/>
  <c r="D53" i="1"/>
  <c r="P70" i="1"/>
  <c r="O70" i="1"/>
  <c r="M70" i="1"/>
  <c r="L70" i="1"/>
  <c r="J70" i="1"/>
  <c r="P69" i="1"/>
  <c r="O69" i="1"/>
  <c r="M69" i="1"/>
  <c r="L69" i="1"/>
  <c r="J69" i="1"/>
  <c r="P68" i="1"/>
  <c r="O68" i="1"/>
  <c r="M68" i="1"/>
  <c r="L68" i="1"/>
  <c r="J68" i="1"/>
  <c r="M67" i="1"/>
  <c r="L67" i="1"/>
  <c r="J67" i="1"/>
  <c r="P66" i="1"/>
  <c r="O66" i="1"/>
  <c r="M66" i="1"/>
  <c r="L66" i="1"/>
  <c r="J66" i="1"/>
  <c r="K65" i="1"/>
  <c r="I65" i="1"/>
  <c r="H65" i="1"/>
  <c r="G65" i="1"/>
  <c r="F65" i="1"/>
  <c r="E65" i="1"/>
  <c r="D65" i="1"/>
  <c r="P82" i="1"/>
  <c r="M82" i="1"/>
  <c r="L82" i="1"/>
  <c r="J82" i="1"/>
  <c r="P81" i="1"/>
  <c r="M81" i="1"/>
  <c r="L81" i="1"/>
  <c r="J81" i="1"/>
  <c r="P80" i="1"/>
  <c r="M80" i="1"/>
  <c r="P79" i="1"/>
  <c r="M79" i="1"/>
  <c r="P78" i="1"/>
  <c r="M78" i="1"/>
  <c r="L78" i="1"/>
  <c r="J78" i="1"/>
  <c r="N77" i="1"/>
  <c r="I77" i="1"/>
  <c r="H77" i="1"/>
  <c r="G77" i="1"/>
  <c r="P76" i="1"/>
  <c r="O76" i="1"/>
  <c r="M76" i="1"/>
  <c r="L76" i="1"/>
  <c r="J76" i="1"/>
  <c r="P75" i="1"/>
  <c r="O75" i="1"/>
  <c r="M75" i="1"/>
  <c r="L75" i="1"/>
  <c r="J75" i="1"/>
  <c r="P74" i="1"/>
  <c r="O74" i="1"/>
  <c r="M74" i="1"/>
  <c r="L74" i="1"/>
  <c r="J74" i="1"/>
  <c r="P73" i="1"/>
  <c r="O73" i="1"/>
  <c r="M73" i="1"/>
  <c r="L73" i="1"/>
  <c r="J73" i="1"/>
  <c r="P72" i="1"/>
  <c r="O72" i="1"/>
  <c r="M72" i="1"/>
  <c r="L72" i="1"/>
  <c r="J72" i="1"/>
  <c r="N71" i="1"/>
  <c r="K71" i="1"/>
  <c r="I71" i="1"/>
  <c r="H71" i="1"/>
  <c r="G71" i="1"/>
  <c r="F71" i="1"/>
  <c r="E71" i="1"/>
  <c r="D71" i="1"/>
  <c r="P106" i="1"/>
  <c r="O106" i="1"/>
  <c r="M106" i="1"/>
  <c r="L106" i="1"/>
  <c r="J106" i="1"/>
  <c r="N105" i="1"/>
  <c r="M105" i="1"/>
  <c r="L105" i="1"/>
  <c r="J105" i="1"/>
  <c r="P104" i="1"/>
  <c r="O104" i="1"/>
  <c r="M104" i="1"/>
  <c r="L104" i="1"/>
  <c r="J104" i="1"/>
  <c r="N103" i="1"/>
  <c r="M103" i="1"/>
  <c r="L103" i="1"/>
  <c r="J103" i="1"/>
  <c r="P102" i="1"/>
  <c r="O102" i="1"/>
  <c r="M102" i="1"/>
  <c r="L102" i="1"/>
  <c r="J102" i="1"/>
  <c r="K101" i="1"/>
  <c r="I101" i="1"/>
  <c r="H101" i="1"/>
  <c r="G101" i="1"/>
  <c r="F101" i="1"/>
  <c r="E101" i="1"/>
  <c r="D101" i="1"/>
  <c r="P100" i="1"/>
  <c r="O100" i="1"/>
  <c r="M100" i="1"/>
  <c r="L100" i="1"/>
  <c r="J100" i="1"/>
  <c r="N99" i="1"/>
  <c r="M99" i="1"/>
  <c r="L99" i="1"/>
  <c r="J99" i="1"/>
  <c r="P98" i="1"/>
  <c r="O98" i="1"/>
  <c r="M98" i="1"/>
  <c r="L98" i="1"/>
  <c r="J98" i="1"/>
  <c r="N97" i="1"/>
  <c r="M97" i="1"/>
  <c r="L97" i="1"/>
  <c r="J97" i="1"/>
  <c r="P96" i="1"/>
  <c r="O96" i="1"/>
  <c r="M96" i="1"/>
  <c r="L96" i="1"/>
  <c r="J96" i="1"/>
  <c r="K95" i="1"/>
  <c r="I95" i="1"/>
  <c r="H95" i="1"/>
  <c r="G95" i="1"/>
  <c r="F95" i="1"/>
  <c r="E95" i="1"/>
  <c r="D95" i="1"/>
  <c r="M176" i="1"/>
  <c r="P176" i="1"/>
  <c r="M175" i="1"/>
  <c r="K173" i="1"/>
  <c r="I173" i="1"/>
  <c r="H173" i="1"/>
  <c r="G173" i="1"/>
  <c r="F173" i="1"/>
  <c r="E173" i="1"/>
  <c r="D173" i="1"/>
  <c r="P184" i="1"/>
  <c r="O184" i="1"/>
  <c r="M184" i="1"/>
  <c r="L184" i="1"/>
  <c r="J184" i="1"/>
  <c r="P183" i="1"/>
  <c r="O183" i="1"/>
  <c r="O159" i="1" s="1"/>
  <c r="M183" i="1"/>
  <c r="L183" i="1"/>
  <c r="J183" i="1"/>
  <c r="P182" i="1"/>
  <c r="O182" i="1"/>
  <c r="M182" i="1"/>
  <c r="L182" i="1"/>
  <c r="J182" i="1"/>
  <c r="P181" i="1"/>
  <c r="O181" i="1"/>
  <c r="O157" i="1" s="1"/>
  <c r="L181" i="1"/>
  <c r="J181" i="1"/>
  <c r="P180" i="1"/>
  <c r="O180" i="1"/>
  <c r="O156" i="1" s="1"/>
  <c r="M180" i="1"/>
  <c r="L180" i="1"/>
  <c r="J180" i="1"/>
  <c r="N179" i="1"/>
  <c r="K179" i="1"/>
  <c r="I179" i="1"/>
  <c r="H179" i="1"/>
  <c r="G179" i="1"/>
  <c r="F179" i="1"/>
  <c r="E179" i="1"/>
  <c r="D179" i="1"/>
  <c r="P236" i="1"/>
  <c r="O236" i="1"/>
  <c r="M236" i="1"/>
  <c r="L236" i="1"/>
  <c r="J236" i="1"/>
  <c r="M235" i="1"/>
  <c r="L235" i="1"/>
  <c r="J235" i="1"/>
  <c r="P234" i="1"/>
  <c r="O234" i="1"/>
  <c r="M234" i="1"/>
  <c r="L234" i="1"/>
  <c r="J234" i="1"/>
  <c r="P233" i="1"/>
  <c r="O233" i="1"/>
  <c r="M233" i="1"/>
  <c r="L233" i="1"/>
  <c r="J233" i="1"/>
  <c r="P232" i="1"/>
  <c r="O232" i="1"/>
  <c r="M232" i="1"/>
  <c r="L232" i="1"/>
  <c r="J232" i="1"/>
  <c r="K231" i="1"/>
  <c r="I231" i="1"/>
  <c r="H231" i="1"/>
  <c r="G231" i="1"/>
  <c r="F231" i="1"/>
  <c r="E231" i="1"/>
  <c r="D231" i="1"/>
  <c r="N93" i="1" l="1"/>
  <c r="N91" i="1"/>
  <c r="N43" i="1" s="1"/>
  <c r="N37" i="1" s="1"/>
  <c r="L77" i="1"/>
  <c r="M77" i="1"/>
  <c r="P103" i="1"/>
  <c r="P105" i="1"/>
  <c r="P32" i="1"/>
  <c r="P235" i="1"/>
  <c r="P67" i="1"/>
  <c r="P99" i="1"/>
  <c r="P97" i="1"/>
  <c r="L231" i="1"/>
  <c r="P179" i="1"/>
  <c r="P77" i="1"/>
  <c r="P29" i="1"/>
  <c r="O32" i="1"/>
  <c r="P59" i="1"/>
  <c r="M71" i="1"/>
  <c r="N65" i="1"/>
  <c r="O65" i="1" s="1"/>
  <c r="L47" i="1"/>
  <c r="O47" i="1"/>
  <c r="N231" i="1"/>
  <c r="O179" i="1"/>
  <c r="M95" i="1"/>
  <c r="M101" i="1"/>
  <c r="P71" i="1"/>
  <c r="L53" i="1"/>
  <c r="M59" i="1"/>
  <c r="P47" i="1"/>
  <c r="M29" i="1"/>
  <c r="M179" i="1"/>
  <c r="L71" i="1"/>
  <c r="M65" i="1"/>
  <c r="O105" i="1"/>
  <c r="O99" i="1"/>
  <c r="L29" i="1"/>
  <c r="M173" i="1"/>
  <c r="O29" i="1"/>
  <c r="J29" i="1"/>
  <c r="M47" i="1"/>
  <c r="J47" i="1"/>
  <c r="M53" i="1"/>
  <c r="P55" i="1"/>
  <c r="J59" i="1"/>
  <c r="L59" i="1"/>
  <c r="J53" i="1"/>
  <c r="N53" i="1"/>
  <c r="O55" i="1"/>
  <c r="O59" i="1"/>
  <c r="J65" i="1"/>
  <c r="L65" i="1"/>
  <c r="O71" i="1"/>
  <c r="J77" i="1"/>
  <c r="J71" i="1"/>
  <c r="J95" i="1"/>
  <c r="L95" i="1"/>
  <c r="N95" i="1"/>
  <c r="O97" i="1"/>
  <c r="J101" i="1"/>
  <c r="L101" i="1"/>
  <c r="N101" i="1"/>
  <c r="O103" i="1"/>
  <c r="P175" i="1"/>
  <c r="N173" i="1"/>
  <c r="J173" i="1"/>
  <c r="L173" i="1"/>
  <c r="O176" i="1"/>
  <c r="O158" i="1" s="1"/>
  <c r="J175" i="1"/>
  <c r="L175" i="1"/>
  <c r="J176" i="1"/>
  <c r="L176" i="1"/>
  <c r="J179" i="1"/>
  <c r="L179" i="1"/>
  <c r="M231" i="1"/>
  <c r="O235" i="1"/>
  <c r="J231" i="1"/>
  <c r="O248" i="1"/>
  <c r="M248" i="1"/>
  <c r="P247" i="1"/>
  <c r="O247" i="1"/>
  <c r="M247" i="1"/>
  <c r="L247" i="1"/>
  <c r="J247" i="1"/>
  <c r="P246" i="1"/>
  <c r="O246" i="1"/>
  <c r="M246" i="1"/>
  <c r="L246" i="1"/>
  <c r="J246" i="1"/>
  <c r="P245" i="1"/>
  <c r="O245" i="1"/>
  <c r="M245" i="1"/>
  <c r="L245" i="1"/>
  <c r="J245" i="1"/>
  <c r="O244" i="1"/>
  <c r="M244" i="1"/>
  <c r="N243" i="1"/>
  <c r="K243" i="1"/>
  <c r="I243" i="1"/>
  <c r="H243" i="1"/>
  <c r="G243" i="1"/>
  <c r="F243" i="1"/>
  <c r="E243" i="1"/>
  <c r="D243" i="1"/>
  <c r="P290" i="1"/>
  <c r="O290" i="1"/>
  <c r="M290" i="1"/>
  <c r="L290" i="1"/>
  <c r="J290" i="1"/>
  <c r="P289" i="1"/>
  <c r="O289" i="1"/>
  <c r="M289" i="1"/>
  <c r="L289" i="1"/>
  <c r="J289" i="1"/>
  <c r="P288" i="1"/>
  <c r="O288" i="1"/>
  <c r="M288" i="1"/>
  <c r="L288" i="1"/>
  <c r="J288" i="1"/>
  <c r="P287" i="1"/>
  <c r="O287" i="1"/>
  <c r="M287" i="1"/>
  <c r="L287" i="1"/>
  <c r="J287" i="1"/>
  <c r="P286" i="1"/>
  <c r="O286" i="1"/>
  <c r="N285" i="1"/>
  <c r="K285" i="1"/>
  <c r="I285" i="1"/>
  <c r="H285" i="1"/>
  <c r="G285" i="1"/>
  <c r="F285" i="1"/>
  <c r="E285" i="1"/>
  <c r="D285" i="1"/>
  <c r="P428" i="1"/>
  <c r="O428" i="1"/>
  <c r="M428" i="1"/>
  <c r="L428" i="1"/>
  <c r="J428" i="1"/>
  <c r="P427" i="1"/>
  <c r="O427" i="1"/>
  <c r="M427" i="1"/>
  <c r="L427" i="1"/>
  <c r="J427" i="1"/>
  <c r="P426" i="1"/>
  <c r="O426" i="1"/>
  <c r="M426" i="1"/>
  <c r="L426" i="1"/>
  <c r="J426" i="1"/>
  <c r="P425" i="1"/>
  <c r="O425" i="1"/>
  <c r="M425" i="1"/>
  <c r="L425" i="1"/>
  <c r="J425" i="1"/>
  <c r="F425" i="1"/>
  <c r="F423" i="1" s="1"/>
  <c r="P424" i="1"/>
  <c r="O424" i="1"/>
  <c r="M424" i="1"/>
  <c r="L424" i="1"/>
  <c r="J424" i="1"/>
  <c r="N423" i="1"/>
  <c r="K423" i="1"/>
  <c r="I423" i="1"/>
  <c r="H423" i="1"/>
  <c r="E423" i="1"/>
  <c r="D423" i="1"/>
  <c r="P434" i="1"/>
  <c r="O434" i="1"/>
  <c r="M434" i="1"/>
  <c r="L434" i="1"/>
  <c r="J434" i="1"/>
  <c r="P433" i="1"/>
  <c r="O433" i="1"/>
  <c r="M433" i="1"/>
  <c r="L433" i="1"/>
  <c r="J433" i="1"/>
  <c r="M432" i="1"/>
  <c r="L432" i="1"/>
  <c r="J432" i="1"/>
  <c r="M431" i="1"/>
  <c r="L431" i="1"/>
  <c r="J431" i="1"/>
  <c r="F431" i="1"/>
  <c r="F429" i="1" s="1"/>
  <c r="P430" i="1"/>
  <c r="O430" i="1"/>
  <c r="M430" i="1"/>
  <c r="L430" i="1"/>
  <c r="J430" i="1"/>
  <c r="K429" i="1"/>
  <c r="I429" i="1"/>
  <c r="H429" i="1"/>
  <c r="G429" i="1"/>
  <c r="E429" i="1"/>
  <c r="D429" i="1"/>
  <c r="P446" i="1"/>
  <c r="O446" i="1"/>
  <c r="M446" i="1"/>
  <c r="L446" i="1"/>
  <c r="J446" i="1"/>
  <c r="P445" i="1"/>
  <c r="O445" i="1"/>
  <c r="M445" i="1"/>
  <c r="L445" i="1"/>
  <c r="J445" i="1"/>
  <c r="P444" i="1"/>
  <c r="O444" i="1"/>
  <c r="M444" i="1"/>
  <c r="L444" i="1"/>
  <c r="J444" i="1"/>
  <c r="P443" i="1"/>
  <c r="O443" i="1"/>
  <c r="M443" i="1"/>
  <c r="L443" i="1"/>
  <c r="J443" i="1"/>
  <c r="F443" i="1"/>
  <c r="F441" i="1" s="1"/>
  <c r="P442" i="1"/>
  <c r="O442" i="1"/>
  <c r="M442" i="1"/>
  <c r="L442" i="1"/>
  <c r="J442" i="1"/>
  <c r="N441" i="1"/>
  <c r="K441" i="1"/>
  <c r="I441" i="1"/>
  <c r="H441" i="1"/>
  <c r="G441" i="1"/>
  <c r="E441" i="1"/>
  <c r="D441" i="1"/>
  <c r="O464" i="1"/>
  <c r="O463" i="1"/>
  <c r="L462" i="1"/>
  <c r="J462" i="1"/>
  <c r="M461" i="1"/>
  <c r="F461" i="1"/>
  <c r="F459" i="1" s="1"/>
  <c r="M460" i="1"/>
  <c r="L460" i="1"/>
  <c r="J460" i="1"/>
  <c r="K459" i="1"/>
  <c r="I459" i="1"/>
  <c r="E459" i="1"/>
  <c r="D459" i="1"/>
  <c r="P482" i="1"/>
  <c r="O482" i="1"/>
  <c r="M482" i="1"/>
  <c r="L482" i="1"/>
  <c r="J482" i="1"/>
  <c r="P481" i="1"/>
  <c r="O481" i="1"/>
  <c r="M481" i="1"/>
  <c r="L481" i="1"/>
  <c r="J481" i="1"/>
  <c r="N480" i="1"/>
  <c r="N456" i="1" s="1"/>
  <c r="M480" i="1"/>
  <c r="L480" i="1"/>
  <c r="J480" i="1"/>
  <c r="N479" i="1"/>
  <c r="N455" i="1" s="1"/>
  <c r="M479" i="1"/>
  <c r="L479" i="1"/>
  <c r="J479" i="1"/>
  <c r="F479" i="1"/>
  <c r="F477" i="1" s="1"/>
  <c r="P478" i="1"/>
  <c r="O478" i="1"/>
  <c r="M478" i="1"/>
  <c r="L478" i="1"/>
  <c r="J478" i="1"/>
  <c r="K477" i="1"/>
  <c r="I477" i="1"/>
  <c r="H477" i="1"/>
  <c r="G477" i="1"/>
  <c r="E477" i="1"/>
  <c r="D477" i="1"/>
  <c r="P476" i="1"/>
  <c r="O476" i="1"/>
  <c r="M476" i="1"/>
  <c r="L476" i="1"/>
  <c r="J476" i="1"/>
  <c r="P475" i="1"/>
  <c r="O475" i="1"/>
  <c r="M475" i="1"/>
  <c r="L475" i="1"/>
  <c r="J475" i="1"/>
  <c r="P474" i="1"/>
  <c r="O474" i="1"/>
  <c r="M474" i="1"/>
  <c r="L474" i="1"/>
  <c r="J474" i="1"/>
  <c r="P473" i="1"/>
  <c r="O473" i="1"/>
  <c r="M473" i="1"/>
  <c r="L473" i="1"/>
  <c r="J473" i="1"/>
  <c r="F473" i="1"/>
  <c r="F471" i="1" s="1"/>
  <c r="N472" i="1"/>
  <c r="N454" i="1" s="1"/>
  <c r="M472" i="1"/>
  <c r="L472" i="1"/>
  <c r="J472" i="1"/>
  <c r="K471" i="1"/>
  <c r="I471" i="1"/>
  <c r="H471" i="1"/>
  <c r="G471" i="1"/>
  <c r="E471" i="1"/>
  <c r="D471" i="1"/>
  <c r="O812" i="1"/>
  <c r="P817" i="1"/>
  <c r="O817" i="1"/>
  <c r="O811" i="1" s="1"/>
  <c r="P816" i="1"/>
  <c r="O816" i="1"/>
  <c r="O810" i="1" s="1"/>
  <c r="M816" i="1"/>
  <c r="L816" i="1"/>
  <c r="J816" i="1"/>
  <c r="P815" i="1"/>
  <c r="O815" i="1"/>
  <c r="O809" i="1" s="1"/>
  <c r="M815" i="1"/>
  <c r="L815" i="1"/>
  <c r="J815" i="1"/>
  <c r="O814" i="1"/>
  <c r="O808" i="1" s="1"/>
  <c r="J814" i="1"/>
  <c r="N813" i="1"/>
  <c r="M813" i="1"/>
  <c r="H813" i="1"/>
  <c r="G813" i="1"/>
  <c r="N45" i="1" l="1"/>
  <c r="P472" i="1"/>
  <c r="P173" i="1"/>
  <c r="P462" i="1"/>
  <c r="P65" i="1"/>
  <c r="P479" i="1"/>
  <c r="P480" i="1"/>
  <c r="G459" i="1"/>
  <c r="G413" i="1"/>
  <c r="O231" i="1"/>
  <c r="P231" i="1"/>
  <c r="M477" i="1"/>
  <c r="O441" i="1"/>
  <c r="L471" i="1"/>
  <c r="M441" i="1"/>
  <c r="P432" i="1"/>
  <c r="P431" i="1"/>
  <c r="N471" i="1"/>
  <c r="O813" i="1"/>
  <c r="H459" i="1"/>
  <c r="L477" i="1"/>
  <c r="N429" i="1"/>
  <c r="P423" i="1"/>
  <c r="P285" i="1"/>
  <c r="O243" i="1"/>
  <c r="M459" i="1"/>
  <c r="M243" i="1"/>
  <c r="L429" i="1"/>
  <c r="O285" i="1"/>
  <c r="P53" i="1"/>
  <c r="O53" i="1"/>
  <c r="O95" i="1"/>
  <c r="P95" i="1"/>
  <c r="O101" i="1"/>
  <c r="P101" i="1"/>
  <c r="O173" i="1"/>
  <c r="P813" i="1"/>
  <c r="M471" i="1"/>
  <c r="N477" i="1"/>
  <c r="O460" i="1"/>
  <c r="P441" i="1"/>
  <c r="M429" i="1"/>
  <c r="O423" i="1"/>
  <c r="L423" i="1"/>
  <c r="L285" i="1"/>
  <c r="P243" i="1"/>
  <c r="J243" i="1"/>
  <c r="L243" i="1"/>
  <c r="M285" i="1"/>
  <c r="J285" i="1"/>
  <c r="M423" i="1"/>
  <c r="J423" i="1"/>
  <c r="O431" i="1"/>
  <c r="O432" i="1"/>
  <c r="J429" i="1"/>
  <c r="J441" i="1"/>
  <c r="L441" i="1"/>
  <c r="P461" i="1"/>
  <c r="N459" i="1"/>
  <c r="J461" i="1"/>
  <c r="O461" i="1"/>
  <c r="O462" i="1"/>
  <c r="L461" i="1"/>
  <c r="O472" i="1"/>
  <c r="O479" i="1"/>
  <c r="O480" i="1"/>
  <c r="J471" i="1"/>
  <c r="J477" i="1"/>
  <c r="L813" i="1"/>
  <c r="J813" i="1"/>
  <c r="J459" i="1" l="1"/>
  <c r="O471" i="1"/>
  <c r="P429" i="1"/>
  <c r="N412" i="1"/>
  <c r="N803" i="1"/>
  <c r="N415" i="1"/>
  <c r="N804" i="1"/>
  <c r="P477" i="1"/>
  <c r="O429" i="1"/>
  <c r="O459" i="1"/>
  <c r="P459" i="1"/>
  <c r="L459" i="1"/>
  <c r="P471" i="1"/>
  <c r="O477" i="1"/>
  <c r="N413" i="1" l="1"/>
  <c r="N414" i="1"/>
  <c r="J808" i="1" l="1"/>
  <c r="L808" i="1"/>
  <c r="N805" i="1" l="1"/>
  <c r="N806" i="1"/>
  <c r="N802" i="1"/>
  <c r="N207" i="1" l="1"/>
  <c r="O94" i="1" l="1"/>
  <c r="O46" i="1" s="1"/>
  <c r="O90" i="1" l="1"/>
  <c r="O42" i="1" s="1"/>
  <c r="O92" i="1"/>
  <c r="O44" i="1" s="1"/>
  <c r="O118" i="1" l="1"/>
  <c r="M118" i="1"/>
  <c r="L118" i="1"/>
  <c r="J118" i="1"/>
  <c r="O117" i="1"/>
  <c r="O111" i="1" s="1"/>
  <c r="M117" i="1"/>
  <c r="L117" i="1"/>
  <c r="J117" i="1"/>
  <c r="O116" i="1"/>
  <c r="M116" i="1"/>
  <c r="L116" i="1"/>
  <c r="J116" i="1"/>
  <c r="O115" i="1"/>
  <c r="O109" i="1" s="1"/>
  <c r="M115" i="1"/>
  <c r="L115" i="1"/>
  <c r="J115" i="1"/>
  <c r="O114" i="1"/>
  <c r="M114" i="1"/>
  <c r="L114" i="1"/>
  <c r="J114" i="1"/>
  <c r="F113" i="1"/>
  <c r="E113" i="1"/>
  <c r="D113" i="1"/>
  <c r="O112" i="1" l="1"/>
  <c r="O108" i="1"/>
  <c r="O110" i="1"/>
  <c r="O38" i="1" s="1"/>
  <c r="O113" i="1"/>
  <c r="M113" i="1"/>
  <c r="J113" i="1"/>
  <c r="L113" i="1"/>
  <c r="P208" i="1" l="1"/>
  <c r="O208" i="1"/>
  <c r="M208" i="1"/>
  <c r="L208" i="1"/>
  <c r="J208" i="1"/>
  <c r="P207" i="1"/>
  <c r="O207" i="1"/>
  <c r="M207" i="1"/>
  <c r="L207" i="1"/>
  <c r="J207" i="1"/>
  <c r="P206" i="1"/>
  <c r="O206" i="1"/>
  <c r="M206" i="1"/>
  <c r="L206" i="1"/>
  <c r="J206" i="1"/>
  <c r="M205" i="1"/>
  <c r="L205" i="1"/>
  <c r="J205" i="1"/>
  <c r="M204" i="1"/>
  <c r="L204" i="1"/>
  <c r="J204" i="1"/>
  <c r="N203" i="1"/>
  <c r="K203" i="1"/>
  <c r="I203" i="1"/>
  <c r="H203" i="1"/>
  <c r="O91" i="1"/>
  <c r="O43" i="1" s="1"/>
  <c r="O37" i="1" s="1"/>
  <c r="O93" i="1" l="1"/>
  <c r="O45" i="1" s="1"/>
  <c r="L203" i="1"/>
  <c r="M203" i="1"/>
  <c r="O204" i="1"/>
  <c r="O205" i="1"/>
  <c r="J203" i="1"/>
  <c r="P203" i="1"/>
  <c r="O203" i="1" l="1"/>
  <c r="F112" i="1"/>
  <c r="E112" i="1"/>
  <c r="D112" i="1"/>
  <c r="F111" i="1"/>
  <c r="E111" i="1"/>
  <c r="D111" i="1"/>
  <c r="M38" i="1"/>
  <c r="F110" i="1"/>
  <c r="E110" i="1"/>
  <c r="D110" i="1"/>
  <c r="M37" i="1"/>
  <c r="F109" i="1"/>
  <c r="E109" i="1"/>
  <c r="D109" i="1"/>
  <c r="F108" i="1"/>
  <c r="E108" i="1"/>
  <c r="D108" i="1"/>
  <c r="F89" i="1"/>
  <c r="E89" i="1"/>
  <c r="D89" i="1"/>
  <c r="F46" i="1"/>
  <c r="E46" i="1"/>
  <c r="D46" i="1"/>
  <c r="F45" i="1"/>
  <c r="E45" i="1"/>
  <c r="D45" i="1"/>
  <c r="F44" i="1"/>
  <c r="F38" i="1" s="1"/>
  <c r="E44" i="1"/>
  <c r="E38" i="1" s="1"/>
  <c r="D44" i="1"/>
  <c r="D38" i="1" s="1"/>
  <c r="F43" i="1"/>
  <c r="F37" i="1" s="1"/>
  <c r="E43" i="1"/>
  <c r="E37" i="1" s="1"/>
  <c r="D43" i="1"/>
  <c r="D37" i="1" s="1"/>
  <c r="F42" i="1"/>
  <c r="E42" i="1"/>
  <c r="D42" i="1"/>
  <c r="P110" i="1" l="1"/>
  <c r="D107" i="1"/>
  <c r="H107" i="1"/>
  <c r="G107" i="1"/>
  <c r="L42" i="1"/>
  <c r="P42" i="1"/>
  <c r="P44" i="1"/>
  <c r="J42" i="1"/>
  <c r="D35" i="1"/>
  <c r="F35" i="1"/>
  <c r="F41" i="1"/>
  <c r="G89" i="1"/>
  <c r="I89" i="1"/>
  <c r="M94" i="1"/>
  <c r="E35" i="1"/>
  <c r="E41" i="1"/>
  <c r="E107" i="1"/>
  <c r="P91" i="1"/>
  <c r="F107" i="1"/>
  <c r="P93" i="1"/>
  <c r="D41" i="1"/>
  <c r="I107" i="1"/>
  <c r="M111" i="1"/>
  <c r="L91" i="1"/>
  <c r="L93" i="1"/>
  <c r="K107" i="1"/>
  <c r="M108" i="1"/>
  <c r="M112" i="1"/>
  <c r="M90" i="1"/>
  <c r="M92" i="1"/>
  <c r="M110" i="1"/>
  <c r="N89" i="1"/>
  <c r="P108" i="1"/>
  <c r="P112" i="1"/>
  <c r="K89" i="1"/>
  <c r="H89" i="1"/>
  <c r="J90" i="1"/>
  <c r="L90" i="1"/>
  <c r="P90" i="1"/>
  <c r="J91" i="1"/>
  <c r="M91" i="1"/>
  <c r="J92" i="1"/>
  <c r="L92" i="1"/>
  <c r="P92" i="1"/>
  <c r="J93" i="1"/>
  <c r="M93" i="1"/>
  <c r="J94" i="1"/>
  <c r="N107" i="1"/>
  <c r="P109" i="1"/>
  <c r="P111" i="1"/>
  <c r="L94" i="1"/>
  <c r="P94" i="1"/>
  <c r="J108" i="1"/>
  <c r="L108" i="1"/>
  <c r="J110" i="1"/>
  <c r="L110" i="1"/>
  <c r="J111" i="1"/>
  <c r="L111" i="1"/>
  <c r="J112" i="1"/>
  <c r="L112" i="1"/>
  <c r="L107" i="1" l="1"/>
  <c r="J44" i="1"/>
  <c r="J107" i="1"/>
  <c r="P38" i="1"/>
  <c r="O107" i="1"/>
  <c r="G41" i="1"/>
  <c r="M42" i="1"/>
  <c r="J89" i="1"/>
  <c r="P43" i="1"/>
  <c r="I41" i="1"/>
  <c r="J43" i="1"/>
  <c r="M107" i="1"/>
  <c r="L89" i="1"/>
  <c r="M89" i="1"/>
  <c r="H41" i="1"/>
  <c r="L46" i="1"/>
  <c r="M46" i="1"/>
  <c r="P89" i="1"/>
  <c r="P107" i="1"/>
  <c r="P46" i="1"/>
  <c r="L45" i="1"/>
  <c r="M45" i="1"/>
  <c r="M44" i="1"/>
  <c r="L44" i="1"/>
  <c r="M43" i="1"/>
  <c r="L43" i="1"/>
  <c r="K41" i="1"/>
  <c r="J46" i="1"/>
  <c r="J45" i="1"/>
  <c r="P37" i="1" l="1"/>
  <c r="J38" i="1"/>
  <c r="J37" i="1"/>
  <c r="P45" i="1"/>
  <c r="N41" i="1"/>
  <c r="O89" i="1"/>
  <c r="M41" i="1"/>
  <c r="L41" i="1"/>
  <c r="L37" i="1"/>
  <c r="L38" i="1"/>
  <c r="J41" i="1"/>
  <c r="N160" i="1"/>
  <c r="N148" i="1" s="1"/>
  <c r="K160" i="1"/>
  <c r="K148" i="1" s="1"/>
  <c r="H160" i="1"/>
  <c r="I160" i="1"/>
  <c r="G160" i="1"/>
  <c r="K142" i="1" l="1"/>
  <c r="N142" i="1"/>
  <c r="O41" i="1"/>
  <c r="P41" i="1"/>
  <c r="F455" i="1"/>
  <c r="F453" i="1" s="1"/>
  <c r="E453" i="1"/>
  <c r="D453" i="1"/>
  <c r="F437" i="1"/>
  <c r="F435" i="1" s="1"/>
  <c r="E435" i="1"/>
  <c r="D435" i="1"/>
  <c r="F419" i="1"/>
  <c r="F417" i="1" s="1"/>
  <c r="E417" i="1"/>
  <c r="D417" i="1"/>
  <c r="P278" i="1"/>
  <c r="P277" i="1"/>
  <c r="P276" i="1"/>
  <c r="P275" i="1"/>
  <c r="N284" i="1"/>
  <c r="N278" i="1" s="1"/>
  <c r="K284" i="1"/>
  <c r="K278" i="1" s="1"/>
  <c r="I284" i="1"/>
  <c r="I278" i="1" s="1"/>
  <c r="H284" i="1"/>
  <c r="H278" i="1" s="1"/>
  <c r="G284" i="1"/>
  <c r="G278" i="1" s="1"/>
  <c r="N283" i="1"/>
  <c r="N277" i="1" s="1"/>
  <c r="K283" i="1"/>
  <c r="K277" i="1" s="1"/>
  <c r="I283" i="1"/>
  <c r="I277" i="1" s="1"/>
  <c r="H283" i="1"/>
  <c r="H277" i="1" s="1"/>
  <c r="G283" i="1"/>
  <c r="G277" i="1" s="1"/>
  <c r="N282" i="1"/>
  <c r="N276" i="1" s="1"/>
  <c r="K282" i="1"/>
  <c r="I282" i="1"/>
  <c r="H282" i="1"/>
  <c r="H276" i="1" s="1"/>
  <c r="G282" i="1"/>
  <c r="G276" i="1" s="1"/>
  <c r="K281" i="1"/>
  <c r="K275" i="1" s="1"/>
  <c r="I281" i="1"/>
  <c r="I275" i="1" s="1"/>
  <c r="H281" i="1"/>
  <c r="H275" i="1" s="1"/>
  <c r="G281" i="1"/>
  <c r="G275" i="1" s="1"/>
  <c r="N280" i="1"/>
  <c r="N274" i="1" s="1"/>
  <c r="K280" i="1"/>
  <c r="K274" i="1" s="1"/>
  <c r="I280" i="1"/>
  <c r="I274" i="1" s="1"/>
  <c r="H280" i="1"/>
  <c r="H274" i="1" s="1"/>
  <c r="G280" i="1"/>
  <c r="G274" i="1" s="1"/>
  <c r="F279" i="1"/>
  <c r="E279" i="1"/>
  <c r="D279" i="1"/>
  <c r="F275" i="1"/>
  <c r="F273" i="1" s="1"/>
  <c r="D275" i="1"/>
  <c r="D273" i="1" s="1"/>
  <c r="P274" i="1"/>
  <c r="E273" i="1"/>
  <c r="F224" i="1"/>
  <c r="F218" i="1" s="1"/>
  <c r="E224" i="1"/>
  <c r="E218" i="1" s="1"/>
  <c r="D224" i="1"/>
  <c r="D218" i="1" s="1"/>
  <c r="F223" i="1"/>
  <c r="F217" i="1" s="1"/>
  <c r="E223" i="1"/>
  <c r="E217" i="1" s="1"/>
  <c r="D223" i="1"/>
  <c r="D217" i="1" s="1"/>
  <c r="F222" i="1"/>
  <c r="F216" i="1" s="1"/>
  <c r="E222" i="1"/>
  <c r="E216" i="1" s="1"/>
  <c r="D222" i="1"/>
  <c r="D216" i="1" s="1"/>
  <c r="F221" i="1"/>
  <c r="F215" i="1" s="1"/>
  <c r="E221" i="1"/>
  <c r="E215" i="1" s="1"/>
  <c r="D221" i="1"/>
  <c r="D215" i="1" s="1"/>
  <c r="F220" i="1"/>
  <c r="E220" i="1"/>
  <c r="E214" i="1" s="1"/>
  <c r="D220" i="1"/>
  <c r="N242" i="1"/>
  <c r="K242" i="1"/>
  <c r="I242" i="1"/>
  <c r="H242" i="1"/>
  <c r="G242" i="1"/>
  <c r="N241" i="1"/>
  <c r="K241" i="1"/>
  <c r="I241" i="1"/>
  <c r="H241" i="1"/>
  <c r="G241" i="1"/>
  <c r="N240" i="1"/>
  <c r="K240" i="1"/>
  <c r="K222" i="1" s="1"/>
  <c r="K216" i="1" s="1"/>
  <c r="I240" i="1"/>
  <c r="H240" i="1"/>
  <c r="G240" i="1"/>
  <c r="G222" i="1" s="1"/>
  <c r="G216" i="1" s="1"/>
  <c r="N239" i="1"/>
  <c r="K239" i="1"/>
  <c r="K221" i="1" s="1"/>
  <c r="K215" i="1" s="1"/>
  <c r="I239" i="1"/>
  <c r="H239" i="1"/>
  <c r="G239" i="1"/>
  <c r="N238" i="1"/>
  <c r="K238" i="1"/>
  <c r="I238" i="1"/>
  <c r="I220" i="1" s="1"/>
  <c r="H238" i="1"/>
  <c r="H220" i="1" s="1"/>
  <c r="G238" i="1"/>
  <c r="G220" i="1" s="1"/>
  <c r="F237" i="1"/>
  <c r="E237" i="1"/>
  <c r="D237" i="1"/>
  <c r="P230" i="1"/>
  <c r="O230" i="1"/>
  <c r="M230" i="1"/>
  <c r="L230" i="1"/>
  <c r="J230" i="1"/>
  <c r="N229" i="1"/>
  <c r="M229" i="1"/>
  <c r="L229" i="1"/>
  <c r="J229" i="1"/>
  <c r="P228" i="1"/>
  <c r="O228" i="1"/>
  <c r="M228" i="1"/>
  <c r="L228" i="1"/>
  <c r="J228" i="1"/>
  <c r="P227" i="1"/>
  <c r="O227" i="1"/>
  <c r="M227" i="1"/>
  <c r="L227" i="1"/>
  <c r="J227" i="1"/>
  <c r="P226" i="1"/>
  <c r="O226" i="1"/>
  <c r="M226" i="1"/>
  <c r="L226" i="1"/>
  <c r="J226" i="1"/>
  <c r="K225" i="1"/>
  <c r="I225" i="1"/>
  <c r="H225" i="1"/>
  <c r="G225" i="1"/>
  <c r="F225" i="1"/>
  <c r="E225" i="1"/>
  <c r="D225" i="1"/>
  <c r="N40" i="1" l="1"/>
  <c r="K40" i="1"/>
  <c r="G221" i="1"/>
  <c r="G215" i="1" s="1"/>
  <c r="K276" i="1"/>
  <c r="L276" i="1" s="1"/>
  <c r="I276" i="1"/>
  <c r="I270" i="1" s="1"/>
  <c r="J241" i="1"/>
  <c r="K223" i="1"/>
  <c r="K217" i="1" s="1"/>
  <c r="L241" i="1"/>
  <c r="M241" i="1"/>
  <c r="I223" i="1"/>
  <c r="I217" i="1" s="1"/>
  <c r="H224" i="1"/>
  <c r="H218" i="1" s="1"/>
  <c r="H221" i="1"/>
  <c r="I224" i="1"/>
  <c r="I218" i="1" s="1"/>
  <c r="L274" i="1"/>
  <c r="K220" i="1"/>
  <c r="I221" i="1"/>
  <c r="I215" i="1" s="1"/>
  <c r="H222" i="1"/>
  <c r="H216" i="1" s="1"/>
  <c r="L277" i="1"/>
  <c r="H223" i="1"/>
  <c r="H217" i="1" s="1"/>
  <c r="O274" i="1"/>
  <c r="O278" i="1"/>
  <c r="N220" i="1"/>
  <c r="N224" i="1"/>
  <c r="N218" i="1" s="1"/>
  <c r="O276" i="1"/>
  <c r="N222" i="1"/>
  <c r="N216" i="1" s="1"/>
  <c r="G412" i="1"/>
  <c r="G224" i="1"/>
  <c r="G218" i="1" s="1"/>
  <c r="N223" i="1"/>
  <c r="N217" i="1" s="1"/>
  <c r="I222" i="1"/>
  <c r="I216" i="1" s="1"/>
  <c r="G223" i="1"/>
  <c r="G217" i="1" s="1"/>
  <c r="L278" i="1"/>
  <c r="M278" i="1"/>
  <c r="J220" i="1"/>
  <c r="P241" i="1"/>
  <c r="P229" i="1"/>
  <c r="M438" i="1"/>
  <c r="M440" i="1"/>
  <c r="J437" i="1"/>
  <c r="P455" i="1"/>
  <c r="L456" i="1"/>
  <c r="J458" i="1"/>
  <c r="J225" i="1"/>
  <c r="P419" i="1"/>
  <c r="O436" i="1"/>
  <c r="O418" i="1" s="1"/>
  <c r="M437" i="1"/>
  <c r="L438" i="1"/>
  <c r="P458" i="1"/>
  <c r="O282" i="1"/>
  <c r="L284" i="1"/>
  <c r="G453" i="1"/>
  <c r="J456" i="1"/>
  <c r="M283" i="1"/>
  <c r="P421" i="1"/>
  <c r="M422" i="1"/>
  <c r="P439" i="1"/>
  <c r="L454" i="1"/>
  <c r="M455" i="1"/>
  <c r="O457" i="1"/>
  <c r="J282" i="1"/>
  <c r="M419" i="1"/>
  <c r="J439" i="1"/>
  <c r="M457" i="1"/>
  <c r="L439" i="1"/>
  <c r="J454" i="1"/>
  <c r="J280" i="1"/>
  <c r="M436" i="1"/>
  <c r="P440" i="1"/>
  <c r="L455" i="1"/>
  <c r="M420" i="1"/>
  <c r="G435" i="1"/>
  <c r="L436" i="1"/>
  <c r="M284" i="1"/>
  <c r="O439" i="1"/>
  <c r="O421" i="1" s="1"/>
  <c r="L440" i="1"/>
  <c r="O280" i="1"/>
  <c r="O440" i="1"/>
  <c r="O422" i="1" s="1"/>
  <c r="L418" i="1"/>
  <c r="M281" i="1"/>
  <c r="K435" i="1"/>
  <c r="M439" i="1"/>
  <c r="L422" i="1"/>
  <c r="O284" i="1"/>
  <c r="I453" i="1"/>
  <c r="L457" i="1"/>
  <c r="H417" i="1"/>
  <c r="H453" i="1"/>
  <c r="L282" i="1"/>
  <c r="M418" i="1"/>
  <c r="P436" i="1"/>
  <c r="L437" i="1"/>
  <c r="L458" i="1"/>
  <c r="P422" i="1"/>
  <c r="K417" i="1"/>
  <c r="J419" i="1"/>
  <c r="J421" i="1"/>
  <c r="I435" i="1"/>
  <c r="H435" i="1"/>
  <c r="I417" i="1"/>
  <c r="J438" i="1"/>
  <c r="J440" i="1"/>
  <c r="K453" i="1"/>
  <c r="J455" i="1"/>
  <c r="J457" i="1"/>
  <c r="O458" i="1"/>
  <c r="P418" i="1"/>
  <c r="J436" i="1"/>
  <c r="M456" i="1"/>
  <c r="J420" i="1"/>
  <c r="J422" i="1"/>
  <c r="M454" i="1"/>
  <c r="M458" i="1"/>
  <c r="J418" i="1"/>
  <c r="N279" i="1"/>
  <c r="J284" i="1"/>
  <c r="H279" i="1"/>
  <c r="G279" i="1"/>
  <c r="M280" i="1"/>
  <c r="L280" i="1"/>
  <c r="I279" i="1"/>
  <c r="M282" i="1"/>
  <c r="G273" i="1"/>
  <c r="P280" i="1"/>
  <c r="L281" i="1"/>
  <c r="P282" i="1"/>
  <c r="L283" i="1"/>
  <c r="P284" i="1"/>
  <c r="P281" i="1"/>
  <c r="O281" i="1"/>
  <c r="K279" i="1"/>
  <c r="P283" i="1"/>
  <c r="J281" i="1"/>
  <c r="J283" i="1"/>
  <c r="O283" i="1"/>
  <c r="D219" i="1"/>
  <c r="O229" i="1"/>
  <c r="P239" i="1"/>
  <c r="M240" i="1"/>
  <c r="E213" i="1"/>
  <c r="N225" i="1"/>
  <c r="F219" i="1"/>
  <c r="M225" i="1"/>
  <c r="N237" i="1"/>
  <c r="O241" i="1"/>
  <c r="E219" i="1"/>
  <c r="F214" i="1"/>
  <c r="F213" i="1" s="1"/>
  <c r="D214" i="1"/>
  <c r="K237" i="1"/>
  <c r="O242" i="1"/>
  <c r="L240" i="1"/>
  <c r="O240" i="1"/>
  <c r="L225" i="1"/>
  <c r="O238" i="1"/>
  <c r="L239" i="1"/>
  <c r="G237" i="1"/>
  <c r="J239" i="1"/>
  <c r="J240" i="1"/>
  <c r="I237" i="1"/>
  <c r="M239" i="1"/>
  <c r="O239" i="1"/>
  <c r="H237" i="1"/>
  <c r="P240" i="1"/>
  <c r="N196" i="1"/>
  <c r="N195" i="1"/>
  <c r="N194" i="1"/>
  <c r="K196" i="1"/>
  <c r="K195" i="1"/>
  <c r="K153" i="1" s="1"/>
  <c r="K147" i="1" s="1"/>
  <c r="K194" i="1"/>
  <c r="K152" i="1" s="1"/>
  <c r="K193" i="1"/>
  <c r="K151" i="1" s="1"/>
  <c r="K192" i="1"/>
  <c r="K150" i="1" s="1"/>
  <c r="K144" i="1" s="1"/>
  <c r="I196" i="1"/>
  <c r="H196" i="1"/>
  <c r="I195" i="1"/>
  <c r="H195" i="1"/>
  <c r="I194" i="1"/>
  <c r="H194" i="1"/>
  <c r="I193" i="1"/>
  <c r="H193" i="1"/>
  <c r="I192" i="1"/>
  <c r="H192" i="1"/>
  <c r="G151" i="1"/>
  <c r="G194" i="1"/>
  <c r="G152" i="1" s="1"/>
  <c r="G195" i="1"/>
  <c r="G153" i="1" s="1"/>
  <c r="G147" i="1" s="1"/>
  <c r="G141" i="1" s="1"/>
  <c r="G39" i="1" s="1"/>
  <c r="G196" i="1"/>
  <c r="G154" i="1" s="1"/>
  <c r="G148" i="1" s="1"/>
  <c r="G142" i="1" s="1"/>
  <c r="G40" i="1" s="1"/>
  <c r="G192" i="1"/>
  <c r="G150" i="1" s="1"/>
  <c r="G144" i="1" s="1"/>
  <c r="K143" i="1" l="1"/>
  <c r="K138" i="1"/>
  <c r="G143" i="1"/>
  <c r="G138" i="1"/>
  <c r="K141" i="1"/>
  <c r="J237" i="1"/>
  <c r="L237" i="1"/>
  <c r="K270" i="1"/>
  <c r="M276" i="1"/>
  <c r="M220" i="1"/>
  <c r="K214" i="1"/>
  <c r="P220" i="1"/>
  <c r="N214" i="1"/>
  <c r="L221" i="1"/>
  <c r="H215" i="1"/>
  <c r="M274" i="1"/>
  <c r="O220" i="1"/>
  <c r="L220" i="1"/>
  <c r="L275" i="1"/>
  <c r="O224" i="1"/>
  <c r="G417" i="1"/>
  <c r="M275" i="1"/>
  <c r="I273" i="1"/>
  <c r="M277" i="1"/>
  <c r="M217" i="1"/>
  <c r="H150" i="1"/>
  <c r="H144" i="1" s="1"/>
  <c r="L144" i="1" s="1"/>
  <c r="I150" i="1"/>
  <c r="I144" i="1" s="1"/>
  <c r="H151" i="1"/>
  <c r="H153" i="1"/>
  <c r="H147" i="1" s="1"/>
  <c r="J222" i="1"/>
  <c r="I153" i="1"/>
  <c r="I147" i="1" s="1"/>
  <c r="I151" i="1"/>
  <c r="H152" i="1"/>
  <c r="H154" i="1"/>
  <c r="H148" i="1" s="1"/>
  <c r="I152" i="1"/>
  <c r="I154" i="1"/>
  <c r="I148" i="1" s="1"/>
  <c r="N273" i="1"/>
  <c r="P225" i="1"/>
  <c r="M222" i="1"/>
  <c r="J223" i="1"/>
  <c r="M223" i="1"/>
  <c r="K219" i="1"/>
  <c r="L223" i="1"/>
  <c r="M218" i="1"/>
  <c r="I219" i="1"/>
  <c r="P224" i="1"/>
  <c r="O455" i="1"/>
  <c r="P420" i="1"/>
  <c r="N153" i="1"/>
  <c r="N147" i="1" s="1"/>
  <c r="J279" i="1"/>
  <c r="N152" i="1"/>
  <c r="P438" i="1"/>
  <c r="N435" i="1"/>
  <c r="O438" i="1"/>
  <c r="O420" i="1" s="1"/>
  <c r="J453" i="1"/>
  <c r="M435" i="1"/>
  <c r="J276" i="1"/>
  <c r="O225" i="1"/>
  <c r="L417" i="1"/>
  <c r="M417" i="1"/>
  <c r="P454" i="1"/>
  <c r="N453" i="1"/>
  <c r="J435" i="1"/>
  <c r="J417" i="1"/>
  <c r="L453" i="1"/>
  <c r="M453" i="1"/>
  <c r="O437" i="1"/>
  <c r="O419" i="1" s="1"/>
  <c r="P437" i="1"/>
  <c r="L435" i="1"/>
  <c r="O456" i="1"/>
  <c r="P456" i="1"/>
  <c r="O454" i="1"/>
  <c r="N417" i="1"/>
  <c r="P222" i="1"/>
  <c r="J274" i="1"/>
  <c r="P279" i="1"/>
  <c r="O237" i="1"/>
  <c r="O279" i="1"/>
  <c r="J278" i="1"/>
  <c r="M279" i="1"/>
  <c r="L279" i="1"/>
  <c r="K273" i="1"/>
  <c r="O277" i="1"/>
  <c r="J277" i="1"/>
  <c r="H273" i="1"/>
  <c r="J275" i="1"/>
  <c r="O275" i="1"/>
  <c r="H219" i="1"/>
  <c r="L222" i="1"/>
  <c r="O222" i="1"/>
  <c r="P223" i="1"/>
  <c r="O223" i="1"/>
  <c r="L218" i="1"/>
  <c r="D213" i="1"/>
  <c r="G219" i="1"/>
  <c r="J218" i="1"/>
  <c r="J221" i="1"/>
  <c r="M221" i="1"/>
  <c r="M237" i="1"/>
  <c r="H191" i="1"/>
  <c r="P237" i="1"/>
  <c r="G191" i="1"/>
  <c r="K191" i="1"/>
  <c r="I191" i="1"/>
  <c r="L215" i="1" l="1"/>
  <c r="P147" i="1"/>
  <c r="N141" i="1"/>
  <c r="J147" i="1"/>
  <c r="I141" i="1"/>
  <c r="M141" i="1" s="1"/>
  <c r="O147" i="1"/>
  <c r="O141" i="1" s="1"/>
  <c r="O39" i="1" s="1"/>
  <c r="H141" i="1"/>
  <c r="H39" i="1" s="1"/>
  <c r="I143" i="1"/>
  <c r="M143" i="1" s="1"/>
  <c r="I138" i="1"/>
  <c r="J144" i="1"/>
  <c r="M147" i="1"/>
  <c r="L147" i="1"/>
  <c r="J148" i="1"/>
  <c r="I142" i="1"/>
  <c r="M148" i="1"/>
  <c r="H142" i="1"/>
  <c r="O148" i="1"/>
  <c r="O142" i="1" s="1"/>
  <c r="O40" i="1" s="1"/>
  <c r="L148" i="1"/>
  <c r="P148" i="1"/>
  <c r="H143" i="1"/>
  <c r="L143" i="1" s="1"/>
  <c r="H138" i="1"/>
  <c r="L138" i="1" s="1"/>
  <c r="K39" i="1"/>
  <c r="G137" i="1"/>
  <c r="G36" i="1"/>
  <c r="G35" i="1" s="1"/>
  <c r="K137" i="1"/>
  <c r="K36" i="1"/>
  <c r="M144" i="1"/>
  <c r="O217" i="1"/>
  <c r="O218" i="1"/>
  <c r="O216" i="1"/>
  <c r="O416" i="1"/>
  <c r="K213" i="1"/>
  <c r="L217" i="1"/>
  <c r="J217" i="1"/>
  <c r="O415" i="1"/>
  <c r="O435" i="1"/>
  <c r="P218" i="1"/>
  <c r="L219" i="1"/>
  <c r="O412" i="1"/>
  <c r="M216" i="1"/>
  <c r="M219" i="1"/>
  <c r="P217" i="1"/>
  <c r="P435" i="1"/>
  <c r="L216" i="1"/>
  <c r="P417" i="1"/>
  <c r="O417" i="1"/>
  <c r="P453" i="1"/>
  <c r="O453" i="1"/>
  <c r="O273" i="1"/>
  <c r="P273" i="1"/>
  <c r="L273" i="1"/>
  <c r="M273" i="1"/>
  <c r="J273" i="1"/>
  <c r="J216" i="1"/>
  <c r="J219" i="1"/>
  <c r="P216" i="1"/>
  <c r="J215" i="1"/>
  <c r="M215" i="1"/>
  <c r="K35" i="1" l="1"/>
  <c r="L39" i="1"/>
  <c r="J138" i="1"/>
  <c r="I137" i="1"/>
  <c r="M137" i="1" s="1"/>
  <c r="I36" i="1"/>
  <c r="J141" i="1"/>
  <c r="I39" i="1"/>
  <c r="P141" i="1"/>
  <c r="N39" i="1"/>
  <c r="M138" i="1"/>
  <c r="L141" i="1"/>
  <c r="H137" i="1"/>
  <c r="H36" i="1"/>
  <c r="H40" i="1"/>
  <c r="P142" i="1"/>
  <c r="L142" i="1"/>
  <c r="J142" i="1"/>
  <c r="I40" i="1"/>
  <c r="M142" i="1"/>
  <c r="J143" i="1"/>
  <c r="O413" i="1"/>
  <c r="O414" i="1"/>
  <c r="N192" i="1"/>
  <c r="P39" i="1" l="1"/>
  <c r="J39" i="1"/>
  <c r="H35" i="1"/>
  <c r="L35" i="1" s="1"/>
  <c r="J36" i="1"/>
  <c r="I35" i="1"/>
  <c r="M39" i="1"/>
  <c r="L36" i="1"/>
  <c r="J40" i="1"/>
  <c r="M40" i="1"/>
  <c r="P40" i="1"/>
  <c r="L40" i="1"/>
  <c r="L137" i="1"/>
  <c r="J137" i="1"/>
  <c r="M36" i="1"/>
  <c r="O411" i="1"/>
  <c r="N150" i="1"/>
  <c r="N144" i="1" s="1"/>
  <c r="J35" i="1" l="1"/>
  <c r="P144" i="1"/>
  <c r="N143" i="1"/>
  <c r="P143" i="1" s="1"/>
  <c r="N138" i="1"/>
  <c r="O144" i="1"/>
  <c r="M35" i="1"/>
  <c r="F807" i="1"/>
  <c r="E807" i="1"/>
  <c r="D807" i="1"/>
  <c r="O143" i="1" l="1"/>
  <c r="O138" i="1"/>
  <c r="O36" i="1" s="1"/>
  <c r="O35" i="1" s="1"/>
  <c r="N137" i="1"/>
  <c r="P138" i="1"/>
  <c r="N36" i="1"/>
  <c r="J812" i="1"/>
  <c r="G807" i="1"/>
  <c r="L812" i="1"/>
  <c r="H807" i="1"/>
  <c r="J811" i="1"/>
  <c r="L811" i="1"/>
  <c r="P36" i="1" l="1"/>
  <c r="N35" i="1"/>
  <c r="P35" i="1" s="1"/>
  <c r="P137" i="1"/>
  <c r="O137" i="1"/>
  <c r="P809" i="1"/>
  <c r="P810" i="1"/>
  <c r="O160" i="1" l="1"/>
  <c r="O192" i="1"/>
  <c r="O194" i="1"/>
  <c r="O196" i="1"/>
  <c r="O195" i="1"/>
  <c r="O152" i="1" l="1"/>
  <c r="O153" i="1"/>
  <c r="O150" i="1"/>
  <c r="F993" i="1" l="1"/>
  <c r="F991" i="1" s="1"/>
  <c r="E993" i="1"/>
  <c r="E991" i="1" s="1"/>
  <c r="D993" i="1"/>
  <c r="D991" i="1" s="1"/>
  <c r="F987" i="1"/>
  <c r="F985" i="1" s="1"/>
  <c r="E987" i="1"/>
  <c r="E985" i="1" s="1"/>
  <c r="D987" i="1"/>
  <c r="D985" i="1" s="1"/>
  <c r="M410" i="1"/>
  <c r="L410" i="1"/>
  <c r="J410" i="1"/>
  <c r="M409" i="1"/>
  <c r="L409" i="1"/>
  <c r="J409" i="1"/>
  <c r="M408" i="1"/>
  <c r="L408" i="1"/>
  <c r="J408" i="1"/>
  <c r="M407" i="1"/>
  <c r="L407" i="1"/>
  <c r="J407" i="1"/>
  <c r="F407" i="1"/>
  <c r="F405" i="1" s="1"/>
  <c r="E407" i="1"/>
  <c r="E405" i="1" s="1"/>
  <c r="D407" i="1"/>
  <c r="D405" i="1" s="1"/>
  <c r="M406" i="1"/>
  <c r="L406" i="1"/>
  <c r="J406" i="1"/>
  <c r="K405" i="1"/>
  <c r="I405" i="1"/>
  <c r="H405" i="1"/>
  <c r="J400" i="1"/>
  <c r="P410" i="1" l="1"/>
  <c r="J405" i="1"/>
  <c r="M405" i="1"/>
  <c r="L405" i="1"/>
  <c r="P408" i="1" l="1"/>
  <c r="P405" i="1"/>
  <c r="P407" i="1"/>
  <c r="P409" i="1"/>
  <c r="P406" i="1"/>
  <c r="N221" i="1" l="1"/>
  <c r="N193" i="1"/>
  <c r="O193" i="1"/>
  <c r="O191" i="1" s="1"/>
  <c r="O805" i="1"/>
  <c r="P221" i="1" l="1"/>
  <c r="N215" i="1"/>
  <c r="P811" i="1"/>
  <c r="O221" i="1"/>
  <c r="N219" i="1"/>
  <c r="N191" i="1"/>
  <c r="N151" i="1"/>
  <c r="O151" i="1"/>
  <c r="O149" i="1" s="1"/>
  <c r="O16" i="1"/>
  <c r="O215" i="1" l="1"/>
  <c r="P219" i="1"/>
  <c r="N213" i="1"/>
  <c r="P215" i="1"/>
  <c r="O219" i="1"/>
  <c r="O806" i="1" l="1"/>
  <c r="P808" i="1" l="1"/>
  <c r="N807" i="1"/>
  <c r="O802" i="1"/>
  <c r="P812" i="1"/>
  <c r="P807" i="1" l="1"/>
  <c r="O807" i="1"/>
  <c r="N801" i="1"/>
  <c r="O804" i="1"/>
  <c r="O803" i="1"/>
  <c r="O801" i="1" l="1"/>
  <c r="F414" i="1" l="1"/>
  <c r="E414" i="1"/>
  <c r="D414" i="1"/>
  <c r="E413" i="1"/>
  <c r="D413" i="1"/>
  <c r="E411" i="1" l="1"/>
  <c r="F413" i="1"/>
  <c r="F411" i="1" s="1"/>
  <c r="D411" i="1"/>
  <c r="K22" i="1" l="1"/>
  <c r="K21" i="1"/>
  <c r="K26" i="1"/>
  <c r="K25" i="1"/>
  <c r="K24" i="1"/>
  <c r="I24" i="1"/>
  <c r="I25" i="1"/>
  <c r="I26" i="1"/>
  <c r="K19" i="1" l="1"/>
  <c r="K20" i="1"/>
  <c r="I20" i="1"/>
  <c r="I19" i="1"/>
  <c r="I18" i="1"/>
  <c r="K23" i="1"/>
  <c r="K18" i="1"/>
  <c r="K17" i="1" l="1"/>
  <c r="H4" i="2" l="1"/>
  <c r="N4" i="2" l="1"/>
  <c r="E15" i="2" l="1"/>
  <c r="K15" i="2" s="1"/>
  <c r="H10" i="2"/>
  <c r="N10" i="2" s="1"/>
  <c r="G10" i="2"/>
  <c r="M10" i="2" s="1"/>
  <c r="F10" i="2"/>
  <c r="L10" i="2" s="1"/>
  <c r="E10" i="2" l="1"/>
  <c r="K10" i="2" s="1"/>
  <c r="I10" i="2"/>
  <c r="J10" i="2"/>
  <c r="F15" i="2"/>
  <c r="L15" i="2" s="1"/>
  <c r="G15" i="2"/>
  <c r="M15" i="2" s="1"/>
  <c r="H15" i="2"/>
  <c r="N15" i="2" s="1"/>
  <c r="J15" i="2" l="1"/>
  <c r="I15" i="2"/>
  <c r="N272" i="1" l="1"/>
  <c r="N271" i="1"/>
  <c r="N268" i="1"/>
  <c r="N270" i="1"/>
  <c r="N269" i="1" l="1"/>
  <c r="N267" i="1" l="1"/>
  <c r="N28" i="1"/>
  <c r="N27" i="1"/>
  <c r="N24" i="1"/>
  <c r="N26" i="1"/>
  <c r="N25" i="1"/>
  <c r="N19" i="1" l="1"/>
  <c r="N22" i="1"/>
  <c r="N20" i="1"/>
  <c r="N18" i="1"/>
  <c r="N411" i="1"/>
  <c r="N23" i="1"/>
  <c r="N17" i="1" l="1"/>
  <c r="F981" i="1" l="1"/>
  <c r="F979" i="1" s="1"/>
  <c r="E981" i="1"/>
  <c r="E979" i="1" s="1"/>
  <c r="D981" i="1"/>
  <c r="D979" i="1" s="1"/>
  <c r="D156" i="1" l="1"/>
  <c r="D150" i="1" s="1"/>
  <c r="E156" i="1"/>
  <c r="E150" i="1" s="1"/>
  <c r="F156" i="1"/>
  <c r="F150" i="1" s="1"/>
  <c r="D157" i="1"/>
  <c r="D151" i="1" s="1"/>
  <c r="E157" i="1"/>
  <c r="E151" i="1" s="1"/>
  <c r="F157" i="1"/>
  <c r="F151" i="1" s="1"/>
  <c r="D158" i="1"/>
  <c r="E158" i="1"/>
  <c r="E152" i="1" s="1"/>
  <c r="F158" i="1"/>
  <c r="F152" i="1" s="1"/>
  <c r="D159" i="1"/>
  <c r="D153" i="1" s="1"/>
  <c r="E159" i="1"/>
  <c r="E153" i="1" s="1"/>
  <c r="F159" i="1"/>
  <c r="F153" i="1" s="1"/>
  <c r="D160" i="1"/>
  <c r="D154" i="1" s="1"/>
  <c r="E160" i="1"/>
  <c r="E154" i="1" s="1"/>
  <c r="F160" i="1"/>
  <c r="F154" i="1" s="1"/>
  <c r="D193" i="1"/>
  <c r="E193" i="1"/>
  <c r="F193" i="1"/>
  <c r="D194" i="1"/>
  <c r="E194" i="1"/>
  <c r="F194" i="1"/>
  <c r="D195" i="1"/>
  <c r="E195" i="1"/>
  <c r="F195" i="1"/>
  <c r="D196" i="1"/>
  <c r="E196" i="1"/>
  <c r="F196" i="1"/>
  <c r="L192" i="1" l="1"/>
  <c r="M416" i="1"/>
  <c r="G411" i="1"/>
  <c r="E5" i="2"/>
  <c r="K5" i="2" s="1"/>
  <c r="H5" i="2"/>
  <c r="P196" i="1"/>
  <c r="P192" i="1"/>
  <c r="P195" i="1"/>
  <c r="E16" i="2"/>
  <c r="K16" i="2" s="1"/>
  <c r="E11" i="2"/>
  <c r="K11" i="2" s="1"/>
  <c r="J196" i="1"/>
  <c r="J195" i="1"/>
  <c r="L193" i="1"/>
  <c r="J192" i="1"/>
  <c r="L196" i="1"/>
  <c r="E149" i="1"/>
  <c r="J193" i="1"/>
  <c r="M195" i="1"/>
  <c r="M193" i="1"/>
  <c r="M192" i="1"/>
  <c r="L195" i="1"/>
  <c r="M196" i="1"/>
  <c r="F149" i="1"/>
  <c r="J194" i="1"/>
  <c r="M194" i="1"/>
  <c r="L194" i="1"/>
  <c r="E155" i="1"/>
  <c r="D155" i="1"/>
  <c r="D152" i="1"/>
  <c r="F155" i="1"/>
  <c r="H11" i="2" l="1"/>
  <c r="N11" i="2" s="1"/>
  <c r="N5" i="2"/>
  <c r="K17" i="2"/>
  <c r="N17" i="2"/>
  <c r="M413" i="1"/>
  <c r="M415" i="1"/>
  <c r="M414" i="1"/>
  <c r="K411" i="1"/>
  <c r="H14" i="2" s="1"/>
  <c r="N14" i="2" s="1"/>
  <c r="L191" i="1"/>
  <c r="M412" i="1"/>
  <c r="I411" i="1"/>
  <c r="J414" i="1"/>
  <c r="L413" i="1"/>
  <c r="E14" i="2"/>
  <c r="K14" i="2" s="1"/>
  <c r="F11" i="2"/>
  <c r="G11" i="2"/>
  <c r="G16" i="2"/>
  <c r="M16" i="2" s="1"/>
  <c r="L416" i="1"/>
  <c r="P416" i="1"/>
  <c r="H411" i="1"/>
  <c r="P412" i="1"/>
  <c r="L412" i="1"/>
  <c r="J416" i="1"/>
  <c r="L414" i="1"/>
  <c r="P414" i="1"/>
  <c r="J412" i="1"/>
  <c r="P415" i="1"/>
  <c r="L415" i="1"/>
  <c r="J415" i="1"/>
  <c r="J413" i="1"/>
  <c r="P413" i="1"/>
  <c r="M158" i="1"/>
  <c r="I155" i="1"/>
  <c r="P159" i="1"/>
  <c r="P160" i="1"/>
  <c r="P156" i="1"/>
  <c r="M191" i="1"/>
  <c r="L156" i="1"/>
  <c r="M160" i="1"/>
  <c r="M156" i="1"/>
  <c r="L160" i="1"/>
  <c r="J156" i="1"/>
  <c r="J160" i="1"/>
  <c r="M157" i="1"/>
  <c r="E19" i="2"/>
  <c r="K19" i="2" s="1"/>
  <c r="D149" i="1"/>
  <c r="K155" i="1"/>
  <c r="G155" i="1"/>
  <c r="J191" i="1"/>
  <c r="G14" i="2" l="1"/>
  <c r="M14" i="2" s="1"/>
  <c r="I11" i="2"/>
  <c r="M11" i="2"/>
  <c r="J11" i="2"/>
  <c r="L11" i="2"/>
  <c r="M411" i="1"/>
  <c r="F5" i="2"/>
  <c r="P158" i="1"/>
  <c r="G5" i="2"/>
  <c r="I5" i="2" s="1"/>
  <c r="L158" i="1"/>
  <c r="H155" i="1"/>
  <c r="F16" i="2"/>
  <c r="L16" i="2" s="1"/>
  <c r="M152" i="1"/>
  <c r="L411" i="1"/>
  <c r="F14" i="2"/>
  <c r="P153" i="1"/>
  <c r="M150" i="1"/>
  <c r="M151" i="1"/>
  <c r="J411" i="1"/>
  <c r="G149" i="1"/>
  <c r="P411" i="1"/>
  <c r="J157" i="1"/>
  <c r="K149" i="1"/>
  <c r="L157" i="1"/>
  <c r="J158" i="1"/>
  <c r="L150" i="1"/>
  <c r="I149" i="1"/>
  <c r="P150" i="1"/>
  <c r="J153" i="1"/>
  <c r="F19" i="2"/>
  <c r="L19" i="2" s="1"/>
  <c r="J150" i="1"/>
  <c r="M155" i="1"/>
  <c r="L153" i="1"/>
  <c r="M153" i="1"/>
  <c r="I14" i="2" l="1"/>
  <c r="M17" i="2"/>
  <c r="L17" i="2"/>
  <c r="J14" i="2"/>
  <c r="L14" i="2"/>
  <c r="M5" i="2"/>
  <c r="J5" i="2"/>
  <c r="L5" i="2"/>
  <c r="J155" i="1"/>
  <c r="E6" i="2"/>
  <c r="K6" i="2" s="1"/>
  <c r="H16" i="2"/>
  <c r="P152" i="1"/>
  <c r="L152" i="1"/>
  <c r="J152" i="1"/>
  <c r="L155" i="1"/>
  <c r="J151" i="1"/>
  <c r="L151" i="1"/>
  <c r="H149" i="1"/>
  <c r="G6" i="2"/>
  <c r="M6" i="2" s="1"/>
  <c r="H6" i="2"/>
  <c r="N155" i="1"/>
  <c r="P157" i="1"/>
  <c r="M149" i="1"/>
  <c r="N6" i="2" l="1"/>
  <c r="I16" i="2"/>
  <c r="N16" i="2"/>
  <c r="O155" i="1"/>
  <c r="F6" i="2"/>
  <c r="J16" i="2"/>
  <c r="L149" i="1"/>
  <c r="J149" i="1"/>
  <c r="I6" i="2"/>
  <c r="P155" i="1"/>
  <c r="N149" i="1"/>
  <c r="P151" i="1"/>
  <c r="J6" i="2" l="1"/>
  <c r="L6" i="2"/>
  <c r="P149" i="1"/>
  <c r="E23" i="2" l="1"/>
  <c r="K23" i="2" s="1"/>
  <c r="M930" i="1"/>
  <c r="L930" i="1"/>
  <c r="J930" i="1"/>
  <c r="M929" i="1"/>
  <c r="L929" i="1"/>
  <c r="J929" i="1"/>
  <c r="F929" i="1"/>
  <c r="F927" i="1" s="1"/>
  <c r="E929" i="1"/>
  <c r="E927" i="1" s="1"/>
  <c r="D929" i="1"/>
  <c r="D927" i="1" s="1"/>
  <c r="M928" i="1"/>
  <c r="L928" i="1"/>
  <c r="J928" i="1"/>
  <c r="K927" i="1"/>
  <c r="I927" i="1"/>
  <c r="H927" i="1"/>
  <c r="K800" i="1"/>
  <c r="I800" i="1"/>
  <c r="H800" i="1"/>
  <c r="G800" i="1"/>
  <c r="K799" i="1"/>
  <c r="I799" i="1"/>
  <c r="H799" i="1"/>
  <c r="G799" i="1"/>
  <c r="H798" i="1"/>
  <c r="G798" i="1"/>
  <c r="H797" i="1"/>
  <c r="G797" i="1"/>
  <c r="I796" i="1"/>
  <c r="H796" i="1"/>
  <c r="F801" i="1"/>
  <c r="E801" i="1"/>
  <c r="D801" i="1"/>
  <c r="F800" i="1"/>
  <c r="E800" i="1"/>
  <c r="D800" i="1"/>
  <c r="F799" i="1"/>
  <c r="E799" i="1"/>
  <c r="D799" i="1"/>
  <c r="F798" i="1"/>
  <c r="E798" i="1"/>
  <c r="D798" i="1"/>
  <c r="F797" i="1"/>
  <c r="E797" i="1"/>
  <c r="D797" i="1"/>
  <c r="F796" i="1"/>
  <c r="E796" i="1"/>
  <c r="D796" i="1"/>
  <c r="M794" i="1"/>
  <c r="L794" i="1"/>
  <c r="J794" i="1"/>
  <c r="M793" i="1"/>
  <c r="L793" i="1"/>
  <c r="J793" i="1"/>
  <c r="M792" i="1"/>
  <c r="L792" i="1"/>
  <c r="J792" i="1"/>
  <c r="M791" i="1"/>
  <c r="L791" i="1"/>
  <c r="J791" i="1"/>
  <c r="F791" i="1"/>
  <c r="F789" i="1" s="1"/>
  <c r="E791" i="1"/>
  <c r="E789" i="1" s="1"/>
  <c r="D791" i="1"/>
  <c r="D789" i="1" s="1"/>
  <c r="M790" i="1"/>
  <c r="L790" i="1"/>
  <c r="J790" i="1"/>
  <c r="K789" i="1"/>
  <c r="I789" i="1"/>
  <c r="H789" i="1"/>
  <c r="F192" i="1"/>
  <c r="F191" i="1" s="1"/>
  <c r="E192" i="1"/>
  <c r="E191" i="1" s="1"/>
  <c r="D192" i="1"/>
  <c r="M404" i="1"/>
  <c r="L404" i="1"/>
  <c r="J404" i="1"/>
  <c r="M403" i="1"/>
  <c r="L403" i="1"/>
  <c r="J403" i="1"/>
  <c r="M402" i="1"/>
  <c r="L402" i="1"/>
  <c r="J402" i="1"/>
  <c r="M401" i="1"/>
  <c r="L401" i="1"/>
  <c r="J401" i="1"/>
  <c r="F401" i="1"/>
  <c r="F399" i="1" s="1"/>
  <c r="E401" i="1"/>
  <c r="E399" i="1" s="1"/>
  <c r="D401" i="1"/>
  <c r="D399" i="1" s="1"/>
  <c r="M400" i="1"/>
  <c r="L400" i="1"/>
  <c r="K399" i="1"/>
  <c r="I399" i="1"/>
  <c r="H399" i="1"/>
  <c r="F211" i="1"/>
  <c r="F209" i="1" s="1"/>
  <c r="F203" i="1" s="1"/>
  <c r="F197" i="1" s="1"/>
  <c r="E211" i="1"/>
  <c r="E209" i="1" s="1"/>
  <c r="E203" i="1" s="1"/>
  <c r="E197" i="1" s="1"/>
  <c r="D211" i="1"/>
  <c r="D209" i="1" s="1"/>
  <c r="D203" i="1" s="1"/>
  <c r="D197" i="1" s="1"/>
  <c r="P400" i="1" l="1"/>
  <c r="P794" i="1"/>
  <c r="P929" i="1"/>
  <c r="P930" i="1"/>
  <c r="G23" i="2"/>
  <c r="M23" i="2" s="1"/>
  <c r="H23" i="2"/>
  <c r="N23" i="2" s="1"/>
  <c r="M796" i="1"/>
  <c r="N798" i="1"/>
  <c r="N14" i="1" s="1"/>
  <c r="N799" i="1"/>
  <c r="N15" i="1" s="1"/>
  <c r="N797" i="1"/>
  <c r="N13" i="1" s="1"/>
  <c r="N796" i="1"/>
  <c r="N12" i="1" s="1"/>
  <c r="N800" i="1"/>
  <c r="N16" i="1" s="1"/>
  <c r="P193" i="1"/>
  <c r="P194" i="1"/>
  <c r="P803" i="1"/>
  <c r="P804" i="1"/>
  <c r="P802" i="1"/>
  <c r="P806" i="1"/>
  <c r="P805" i="1"/>
  <c r="D191" i="1"/>
  <c r="H801" i="1"/>
  <c r="F795" i="1"/>
  <c r="G795" i="1"/>
  <c r="E21" i="2" s="1"/>
  <c r="K21" i="2" s="1"/>
  <c r="M927" i="1"/>
  <c r="M789" i="1"/>
  <c r="M799" i="1"/>
  <c r="E795" i="1"/>
  <c r="D795" i="1"/>
  <c r="H795" i="1"/>
  <c r="M800" i="1"/>
  <c r="M802" i="1"/>
  <c r="M805" i="1"/>
  <c r="M806" i="1"/>
  <c r="J927" i="1"/>
  <c r="L927" i="1"/>
  <c r="J800" i="1"/>
  <c r="L800" i="1"/>
  <c r="J802" i="1"/>
  <c r="L802" i="1"/>
  <c r="J805" i="1"/>
  <c r="L805" i="1"/>
  <c r="J806" i="1"/>
  <c r="L806" i="1"/>
  <c r="J799" i="1"/>
  <c r="L799" i="1"/>
  <c r="J789" i="1"/>
  <c r="L789" i="1"/>
  <c r="J399" i="1"/>
  <c r="L399" i="1"/>
  <c r="M399" i="1"/>
  <c r="N11" i="1" l="1"/>
  <c r="P792" i="1"/>
  <c r="P401" i="1"/>
  <c r="P403" i="1"/>
  <c r="P793" i="1"/>
  <c r="P790" i="1"/>
  <c r="P402" i="1"/>
  <c r="P399" i="1"/>
  <c r="P789" i="1"/>
  <c r="P927" i="1"/>
  <c r="P791" i="1"/>
  <c r="P404" i="1"/>
  <c r="P928" i="1"/>
  <c r="O798" i="1"/>
  <c r="O800" i="1"/>
  <c r="O797" i="1"/>
  <c r="O799" i="1"/>
  <c r="O796" i="1"/>
  <c r="F21" i="2"/>
  <c r="L21" i="2" s="1"/>
  <c r="I23" i="2"/>
  <c r="H8" i="2"/>
  <c r="P800" i="1"/>
  <c r="N795" i="1"/>
  <c r="P191" i="1"/>
  <c r="P798" i="1"/>
  <c r="P799" i="1"/>
  <c r="P796" i="1"/>
  <c r="P801" i="1"/>
  <c r="P797" i="1"/>
  <c r="N8" i="2" l="1"/>
  <c r="O795" i="1"/>
  <c r="P795" i="1"/>
  <c r="K272" i="1" l="1"/>
  <c r="K16" i="1" s="1"/>
  <c r="K271" i="1"/>
  <c r="K15" i="1" s="1"/>
  <c r="K269" i="1"/>
  <c r="K268" i="1"/>
  <c r="K12" i="1" s="1"/>
  <c r="G269" i="1"/>
  <c r="G13" i="1" s="1"/>
  <c r="H269" i="1"/>
  <c r="I269" i="1"/>
  <c r="G270" i="1"/>
  <c r="G14" i="1" s="1"/>
  <c r="G271" i="1"/>
  <c r="G15" i="1" s="1"/>
  <c r="H271" i="1"/>
  <c r="I271" i="1"/>
  <c r="G272" i="1"/>
  <c r="G16" i="1" s="1"/>
  <c r="H272" i="1"/>
  <c r="I272" i="1"/>
  <c r="I268" i="1"/>
  <c r="G268" i="1"/>
  <c r="H25" i="1"/>
  <c r="H26" i="1"/>
  <c r="H27" i="1"/>
  <c r="I27" i="1"/>
  <c r="H28" i="1"/>
  <c r="I28" i="1"/>
  <c r="H24" i="1"/>
  <c r="G255" i="1" l="1"/>
  <c r="G214" i="1"/>
  <c r="G12" i="1" s="1"/>
  <c r="G11" i="1" s="1"/>
  <c r="O26" i="1"/>
  <c r="O28" i="1"/>
  <c r="O24" i="1"/>
  <c r="O27" i="1"/>
  <c r="O25" i="1"/>
  <c r="O272" i="1"/>
  <c r="O269" i="1"/>
  <c r="O271" i="1"/>
  <c r="I21" i="1"/>
  <c r="I15" i="1" s="1"/>
  <c r="I23" i="1"/>
  <c r="I22" i="1"/>
  <c r="I16" i="1" s="1"/>
  <c r="P26" i="1"/>
  <c r="P27" i="1"/>
  <c r="P28" i="1"/>
  <c r="P24" i="1"/>
  <c r="H19" i="1"/>
  <c r="H13" i="1" s="1"/>
  <c r="P25" i="1"/>
  <c r="P269" i="1"/>
  <c r="P271" i="1"/>
  <c r="P272" i="1"/>
  <c r="L271" i="1"/>
  <c r="L28" i="1"/>
  <c r="H22" i="1"/>
  <c r="H16" i="1" s="1"/>
  <c r="L16" i="1" s="1"/>
  <c r="L26" i="1"/>
  <c r="H20" i="1"/>
  <c r="L24" i="1"/>
  <c r="H23" i="1"/>
  <c r="L27" i="1"/>
  <c r="H21" i="1"/>
  <c r="H15" i="1" s="1"/>
  <c r="L272" i="1"/>
  <c r="H268" i="1"/>
  <c r="M268" i="1"/>
  <c r="H270" i="1"/>
  <c r="H14" i="1" s="1"/>
  <c r="H18" i="1"/>
  <c r="J24" i="1"/>
  <c r="J26" i="1"/>
  <c r="M27" i="1"/>
  <c r="J28" i="1"/>
  <c r="J27" i="1"/>
  <c r="M26" i="1"/>
  <c r="M24" i="1"/>
  <c r="M28" i="1"/>
  <c r="J271" i="1"/>
  <c r="M271" i="1"/>
  <c r="M272" i="1"/>
  <c r="J272" i="1"/>
  <c r="J16" i="1" l="1"/>
  <c r="G213" i="1"/>
  <c r="E8" i="2" s="1"/>
  <c r="K8" i="2" s="1"/>
  <c r="H255" i="1"/>
  <c r="L256" i="1"/>
  <c r="P256" i="1"/>
  <c r="O256" i="1"/>
  <c r="H214" i="1"/>
  <c r="H12" i="1" s="1"/>
  <c r="J256" i="1"/>
  <c r="I255" i="1"/>
  <c r="M256" i="1"/>
  <c r="I214" i="1"/>
  <c r="I12" i="1" s="1"/>
  <c r="O18" i="1"/>
  <c r="O23" i="1"/>
  <c r="O22" i="1"/>
  <c r="O19" i="1"/>
  <c r="O21" i="1"/>
  <c r="O20" i="1"/>
  <c r="O268" i="1"/>
  <c r="O270" i="1"/>
  <c r="M21" i="1"/>
  <c r="L20" i="1"/>
  <c r="I17" i="1"/>
  <c r="L18" i="1"/>
  <c r="L21" i="1"/>
  <c r="P19" i="1"/>
  <c r="P20" i="1"/>
  <c r="P268" i="1"/>
  <c r="L22" i="1"/>
  <c r="P270" i="1"/>
  <c r="P21" i="1"/>
  <c r="P22" i="1"/>
  <c r="P18" i="1"/>
  <c r="L268" i="1"/>
  <c r="J20" i="1"/>
  <c r="J268" i="1"/>
  <c r="J18" i="1"/>
  <c r="J21" i="1"/>
  <c r="J22" i="1"/>
  <c r="M22" i="1"/>
  <c r="M20" i="1"/>
  <c r="M18" i="1"/>
  <c r="O14" i="1" l="1"/>
  <c r="O15" i="1"/>
  <c r="O13" i="1"/>
  <c r="P214" i="1"/>
  <c r="H213" i="1"/>
  <c r="M214" i="1"/>
  <c r="J214" i="1"/>
  <c r="I213" i="1"/>
  <c r="M12" i="1"/>
  <c r="O214" i="1"/>
  <c r="O12" i="1" s="1"/>
  <c r="L255" i="1"/>
  <c r="O255" i="1"/>
  <c r="P255" i="1"/>
  <c r="M255" i="1"/>
  <c r="J255" i="1"/>
  <c r="J15" i="1"/>
  <c r="M15" i="1"/>
  <c r="M16" i="1"/>
  <c r="G4" i="2"/>
  <c r="O11" i="1" l="1"/>
  <c r="L213" i="1"/>
  <c r="O213" i="1"/>
  <c r="P213" i="1"/>
  <c r="F8" i="2"/>
  <c r="J213" i="1"/>
  <c r="M213" i="1"/>
  <c r="G8" i="2"/>
  <c r="I4" i="2"/>
  <c r="M4" i="2"/>
  <c r="D23" i="1"/>
  <c r="E23" i="1"/>
  <c r="F23" i="1"/>
  <c r="J25" i="1"/>
  <c r="L25" i="1"/>
  <c r="M25" i="1"/>
  <c r="D18" i="1"/>
  <c r="E18" i="1"/>
  <c r="F18" i="1"/>
  <c r="E21" i="1"/>
  <c r="D22" i="1"/>
  <c r="E22" i="1"/>
  <c r="F22" i="1"/>
  <c r="D19" i="1"/>
  <c r="D20" i="1"/>
  <c r="E20" i="1"/>
  <c r="F20" i="1"/>
  <c r="L8" i="2" l="1"/>
  <c r="J8" i="2"/>
  <c r="M8" i="2"/>
  <c r="I8" i="2"/>
  <c r="J270" i="1"/>
  <c r="F19" i="1"/>
  <c r="E19" i="1"/>
  <c r="D21" i="1"/>
  <c r="J23" i="1"/>
  <c r="P23" i="1"/>
  <c r="L23" i="1"/>
  <c r="F16" i="1"/>
  <c r="F21" i="1"/>
  <c r="F15" i="1" s="1"/>
  <c r="E15" i="1"/>
  <c r="E269" i="1"/>
  <c r="D16" i="1"/>
  <c r="E14" i="1"/>
  <c r="E16" i="1"/>
  <c r="M23" i="1"/>
  <c r="J19" i="1"/>
  <c r="F269" i="1"/>
  <c r="M269" i="1" l="1"/>
  <c r="M270" i="1"/>
  <c r="L270" i="1"/>
  <c r="D15" i="1"/>
  <c r="P15" i="1"/>
  <c r="G267" i="1"/>
  <c r="E9" i="2" s="1"/>
  <c r="K9" i="2" s="1"/>
  <c r="D269" i="1"/>
  <c r="K267" i="1"/>
  <c r="P16" i="1"/>
  <c r="E4" i="2"/>
  <c r="E30" i="2" s="1"/>
  <c r="D17" i="1"/>
  <c r="D14" i="1"/>
  <c r="H17" i="1"/>
  <c r="E12" i="1"/>
  <c r="E17" i="1"/>
  <c r="E13" i="1"/>
  <c r="E267" i="1"/>
  <c r="L269" i="1"/>
  <c r="H267" i="1"/>
  <c r="J269" i="1"/>
  <c r="F267" i="1"/>
  <c r="M19" i="1"/>
  <c r="L19" i="1"/>
  <c r="I267" i="1"/>
  <c r="F17" i="1"/>
  <c r="F14" i="1"/>
  <c r="D12" i="1"/>
  <c r="O267" i="1" l="1"/>
  <c r="O17" i="1"/>
  <c r="K4" i="2"/>
  <c r="F9" i="2"/>
  <c r="L9" i="2" s="1"/>
  <c r="G9" i="2"/>
  <c r="H9" i="2"/>
  <c r="F4" i="2"/>
  <c r="L17" i="1"/>
  <c r="D267" i="1"/>
  <c r="D13" i="1"/>
  <c r="M17" i="1"/>
  <c r="F13" i="1"/>
  <c r="E11" i="1"/>
  <c r="P14" i="1"/>
  <c r="F12" i="1"/>
  <c r="J267" i="1"/>
  <c r="L267" i="1"/>
  <c r="J17" i="1"/>
  <c r="M267" i="1"/>
  <c r="J4" i="2" l="1"/>
  <c r="L4" i="2"/>
  <c r="M9" i="2"/>
  <c r="N9" i="2"/>
  <c r="I9" i="2"/>
  <c r="J9" i="2"/>
  <c r="P267" i="1"/>
  <c r="P17" i="1"/>
  <c r="F11" i="1"/>
  <c r="L15" i="1"/>
  <c r="P13" i="1"/>
  <c r="D11" i="1"/>
  <c r="E36" i="2" l="1"/>
  <c r="K804" i="1" l="1"/>
  <c r="I803" i="1"/>
  <c r="J803" i="1" s="1"/>
  <c r="I804" i="1"/>
  <c r="J804" i="1" s="1"/>
  <c r="K803" i="1" l="1"/>
  <c r="J810" i="1"/>
  <c r="L810" i="1"/>
  <c r="J809" i="1"/>
  <c r="I807" i="1"/>
  <c r="M804" i="1" l="1"/>
  <c r="L804" i="1"/>
  <c r="K798" i="1"/>
  <c r="K14" i="1" s="1"/>
  <c r="J807" i="1"/>
  <c r="I801" i="1"/>
  <c r="J801" i="1" s="1"/>
  <c r="I797" i="1"/>
  <c r="I13" i="1" s="1"/>
  <c r="I798" i="1"/>
  <c r="I14" i="1" s="1"/>
  <c r="L809" i="1"/>
  <c r="M798" i="1" l="1"/>
  <c r="L798" i="1"/>
  <c r="M807" i="1"/>
  <c r="L807" i="1"/>
  <c r="J798" i="1"/>
  <c r="I795" i="1"/>
  <c r="J797" i="1"/>
  <c r="K797" i="1"/>
  <c r="K13" i="1" s="1"/>
  <c r="M803" i="1"/>
  <c r="L803" i="1"/>
  <c r="K801" i="1"/>
  <c r="J13" i="1" l="1"/>
  <c r="L801" i="1"/>
  <c r="M801" i="1"/>
  <c r="G21" i="2"/>
  <c r="J795" i="1"/>
  <c r="L797" i="1"/>
  <c r="K795" i="1"/>
  <c r="M797" i="1"/>
  <c r="M21" i="2" l="1"/>
  <c r="H21" i="2"/>
  <c r="I21" i="2" s="1"/>
  <c r="L795" i="1"/>
  <c r="M795" i="1"/>
  <c r="M13" i="1"/>
  <c r="L13" i="1"/>
  <c r="N21" i="2" l="1"/>
  <c r="J21" i="2"/>
  <c r="F23" i="2" l="1"/>
  <c r="F30" i="2" s="1"/>
  <c r="J12" i="1"/>
  <c r="L12" i="1"/>
  <c r="H11" i="1"/>
  <c r="P11" i="1" l="1"/>
  <c r="P12" i="1"/>
  <c r="L23" i="2"/>
  <c r="J23" i="2"/>
  <c r="F36" i="2" l="1"/>
  <c r="J14" i="1" l="1"/>
  <c r="G19" i="2"/>
  <c r="G30" i="2" s="1"/>
  <c r="I11" i="1" l="1"/>
  <c r="M19" i="2"/>
  <c r="J11" i="1" l="1"/>
  <c r="L14" i="1"/>
  <c r="M14" i="1"/>
  <c r="G36" i="2"/>
  <c r="K11" i="1"/>
  <c r="H19" i="2"/>
  <c r="J19" i="2" l="1"/>
  <c r="H30" i="2"/>
  <c r="M11" i="1"/>
  <c r="L11" i="1"/>
  <c r="N19" i="2"/>
  <c r="I19" i="2"/>
  <c r="I30" i="2" l="1"/>
  <c r="I36" i="2" s="1"/>
  <c r="H36" i="2"/>
  <c r="J30" i="2"/>
  <c r="J36" i="2" s="1"/>
</calcChain>
</file>

<file path=xl/comments1.xml><?xml version="1.0" encoding="utf-8"?>
<comments xmlns="http://schemas.openxmlformats.org/spreadsheetml/2006/main">
  <authors>
    <author>Морычева Надежда</author>
    <author>User</author>
    <author>1</author>
    <author>Вершинина Мария Игоревна</author>
  </authors>
  <commentList>
    <comment ref="B47" authorId="0" shape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shape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1"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61" authorId="1" shapeId="0">
      <text>
        <r>
          <rPr>
            <b/>
            <sz val="20"/>
            <color indexed="81"/>
            <rFont val="Tahoma"/>
            <family val="2"/>
            <charset val="204"/>
          </rPr>
          <t>5103 и 2106</t>
        </r>
      </text>
    </comment>
    <comment ref="B167"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73" authorId="0" shape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79" authorId="0" shape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197" authorId="0" shapeId="0">
      <text>
        <r>
          <rPr>
            <sz val="14"/>
            <color indexed="81"/>
            <rFont val="Tahoma"/>
            <family val="2"/>
            <charset val="204"/>
          </rPr>
          <t xml:space="preserve">
2129 </t>
        </r>
      </text>
    </comment>
    <comment ref="B203" authorId="2" shapeId="0">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49" authorId="3" shapeId="0">
      <text>
        <r>
          <rPr>
            <b/>
            <sz val="9"/>
            <color indexed="81"/>
            <rFont val="Tahoma"/>
            <family val="2"/>
            <charset val="204"/>
          </rPr>
          <t>Вершинина Мария Игоревна:</t>
        </r>
        <r>
          <rPr>
            <sz val="9"/>
            <color indexed="81"/>
            <rFont val="Tahoma"/>
            <family val="2"/>
            <charset val="204"/>
          </rPr>
          <t xml:space="preserve">
2123
</t>
        </r>
      </text>
    </comment>
    <comment ref="B369" authorId="2" shapeId="0">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387"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393"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465" authorId="3" shapeId="0">
      <text>
        <r>
          <rPr>
            <b/>
            <sz val="9"/>
            <color indexed="81"/>
            <rFont val="Tahoma"/>
            <family val="2"/>
            <charset val="204"/>
          </rPr>
          <t>Вершинина Мария Игоревна:</t>
        </r>
        <r>
          <rPr>
            <sz val="9"/>
            <color indexed="81"/>
            <rFont val="Tahoma"/>
            <family val="2"/>
            <charset val="204"/>
          </rPr>
          <t xml:space="preserve">
2135
</t>
        </r>
      </text>
    </comment>
    <comment ref="B633"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639"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943"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49"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55"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61"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<sst xmlns="http://schemas.openxmlformats.org/spreadsheetml/2006/main" count="1569" uniqueCount="533">
  <si>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</si>
  <si>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</si>
  <si>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</si>
  <si>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</si>
  <si>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</si>
  <si>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</si>
  <si>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</si>
  <si>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</si>
  <si>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</si>
  <si>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</si>
  <si>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</si>
  <si>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</si>
  <si>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</si>
  <si>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</si>
  <si>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</si>
  <si>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</si>
  <si>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</si>
  <si>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</si>
  <si>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</si>
  <si>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</si>
  <si>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</si>
  <si>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</si>
  <si>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</si>
  <si>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</si>
  <si>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</si>
  <si>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</si>
  <si>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</si>
  <si>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</si>
  <si>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</si>
  <si>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</si>
  <si>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</si>
  <si>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</si>
  <si>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</si>
  <si>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</si>
  <si>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8.</t>
  </si>
  <si>
    <t>9.</t>
  </si>
  <si>
    <t>10.</t>
  </si>
  <si>
    <t>11.</t>
  </si>
  <si>
    <t>12.</t>
  </si>
  <si>
    <t>12.1.</t>
  </si>
  <si>
    <t>12.1.1.</t>
  </si>
  <si>
    <t>13.</t>
  </si>
  <si>
    <t>14.</t>
  </si>
  <si>
    <t>15.</t>
  </si>
  <si>
    <t>16.</t>
  </si>
  <si>
    <t>17.</t>
  </si>
  <si>
    <t>18.</t>
  </si>
  <si>
    <t>19.</t>
  </si>
  <si>
    <t>22.</t>
  </si>
  <si>
    <t>Наименование программы</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</si>
  <si>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</si>
  <si>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</si>
  <si>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</si>
  <si>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</si>
  <si>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</si>
  <si>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</si>
  <si>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</si>
  <si>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</si>
  <si>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</si>
  <si>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</si>
  <si>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</si>
  <si>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</si>
  <si>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</si>
  <si>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</si>
  <si>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</si>
  <si>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</si>
  <si>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</si>
  <si>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2.1.5.</t>
  </si>
  <si>
    <t>2.2.</t>
  </si>
  <si>
    <t>Подпрограмма II "Общее образование. Дополнительное образование детей"</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</si>
  <si>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</si>
  <si>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</si>
  <si>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</si>
  <si>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</si>
  <si>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Подпрограмма IV "Преодоление социальной исключенности"</t>
  </si>
  <si>
    <t xml:space="preserve">Подпрограмма 1 "Создание условий для обеспечения качественными коммунальными услугами" </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</si>
  <si>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</si>
  <si>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</si>
  <si>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</si>
  <si>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</si>
  <si>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</si>
  <si>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</si>
  <si>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</si>
  <si>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</si>
  <si>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</si>
  <si>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</si>
  <si>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</si>
  <si>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</si>
  <si>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</si>
  <si>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</si>
  <si>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</si>
  <si>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</si>
  <si>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</si>
  <si>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</si>
  <si>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</si>
  <si>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</si>
  <si>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20.</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</si>
  <si>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</si>
  <si>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</si>
  <si>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Всего по программам 
Ханты-Мансийского автономного округа - Югры</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</si>
  <si>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</si>
  <si>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</si>
  <si>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</si>
  <si>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</si>
  <si>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тыс. руб.</t>
  </si>
  <si>
    <t>(тыс. руб.)</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</si>
  <si>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</si>
  <si>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</si>
  <si>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</si>
  <si>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Ожидаемый % исполнения</t>
  </si>
  <si>
    <t>3.1.</t>
  </si>
  <si>
    <t>Факт финансирования, всего</t>
  </si>
  <si>
    <t>1.</t>
  </si>
  <si>
    <t>2.1.7.</t>
  </si>
  <si>
    <t>2.2.1.</t>
  </si>
  <si>
    <t>3.1.1.</t>
  </si>
  <si>
    <t>3.1.2.</t>
  </si>
  <si>
    <t>3.2.</t>
  </si>
  <si>
    <t>3.2.1.</t>
  </si>
  <si>
    <t>3.2.2.</t>
  </si>
  <si>
    <t>4.</t>
  </si>
  <si>
    <t>5.1.</t>
  </si>
  <si>
    <t>5.1.1.</t>
  </si>
  <si>
    <t>5.1.2.</t>
  </si>
  <si>
    <t>5.1.3.</t>
  </si>
  <si>
    <t>5.1.4.</t>
  </si>
  <si>
    <t>5.2.</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</si>
  <si>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</si>
  <si>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</si>
  <si>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</si>
  <si>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</si>
  <si>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</si>
  <si>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</si>
  <si>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</si>
  <si>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</si>
  <si>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</si>
  <si>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</si>
  <si>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</si>
  <si>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</si>
  <si>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</si>
  <si>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</si>
  <si>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</si>
  <si>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</si>
  <si>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</si>
  <si>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</si>
  <si>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</si>
  <si>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</si>
  <si>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</si>
  <si>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</si>
  <si>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</si>
  <si>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</si>
  <si>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</si>
  <si>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</si>
  <si>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</si>
  <si>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</si>
  <si>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</si>
  <si>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</si>
  <si>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</si>
  <si>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</si>
  <si>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</si>
  <si>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</si>
  <si>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</si>
  <si>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</si>
  <si>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</si>
  <si>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</si>
  <si>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</si>
  <si>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</si>
  <si>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</si>
  <si>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24.</t>
  </si>
  <si>
    <t>25.</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</si>
  <si>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</si>
  <si>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</si>
  <si>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</si>
  <si>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</si>
  <si>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Финансовая поддержка субъектов по приобретению оборудования (основных средств) и лицензионных программных продуктов</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</si>
  <si>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</si>
  <si>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20.1.1.1.</t>
  </si>
  <si>
    <t>Осуществление отдельных государственных полномочий по созданию и обеспечению деятельности административных комиссий (УБУиО)</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</si>
  <si>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</si>
  <si>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</si>
  <si>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</si>
  <si>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</si>
  <si>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Поликлиника "Нефтяник" на 700 посещений в смену в мкр. 37 г. Сургута (УКС)</t>
  </si>
  <si>
    <t>Приобретение объектов общего образования</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</si>
  <si>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</si>
  <si>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</si>
  <si>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</si>
  <si>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</si>
  <si>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</si>
  <si>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</si>
  <si>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</si>
  <si>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20.1.2.</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</si>
  <si>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</si>
  <si>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 xml:space="preserve">По мероприятиям, финансируемым за счет субвенций, заключение соглашения не требуется.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</si>
  <si>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</si>
  <si>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</si>
  <si>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</si>
  <si>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Утвержденный план 
на 2015год, всего</t>
  </si>
  <si>
    <t xml:space="preserve">Уточненный план 
на 2015 год, всего </t>
  </si>
  <si>
    <t>Приобретение жилья (ДАиГ)</t>
  </si>
  <si>
    <t>Капитальный ремонт и ремонт автомобильных дорог (ДГХ)</t>
  </si>
  <si>
    <t>3.1.3.</t>
  </si>
  <si>
    <t>3.1.4.</t>
  </si>
  <si>
    <t xml:space="preserve">Строительство (реконструкция), капитальный ремонт и ремонт автомобильных дорог общего пользования </t>
  </si>
  <si>
    <t>Шерстнева А.Ю.</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</si>
  <si>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</si>
  <si>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2.1.8.</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</si>
  <si>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</si>
  <si>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Подпрограмма 3 "Поддержка частных инвестиций в жилищно-коммунальном комплексе"</t>
  </si>
  <si>
    <t>12.4.2.</t>
  </si>
  <si>
    <t>12.4.3.</t>
  </si>
  <si>
    <t>12.4.5.</t>
  </si>
  <si>
    <t>12.4.7.</t>
  </si>
  <si>
    <t>12.4.8.</t>
  </si>
  <si>
    <t>Создание условий деятельности народных дружин (Наш город)</t>
  </si>
  <si>
    <t>5.1.3.1.</t>
  </si>
  <si>
    <t>3.1.5.</t>
  </si>
  <si>
    <t>11.2.5.</t>
  </si>
  <si>
    <t>16.1.4.9.</t>
  </si>
  <si>
    <t xml:space="preserve">Утвержденный план 
на 2016 год </t>
  </si>
  <si>
    <t xml:space="preserve">Уточненный план 
на 2016 год </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</si>
  <si>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III -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</si>
  <si>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</si>
  <si>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Подпрограмма  V "Ресурсное обеспечение системы образования, науки и молодежной политики"</t>
  </si>
  <si>
    <t>2.2.1.1.</t>
  </si>
  <si>
    <t>Строительство и реконструкция дошкольных образовательных и общеобразовательных организаций</t>
  </si>
  <si>
    <t>2.2.1.2.</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</si>
  <si>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 (опека - УБУиО)</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</si>
  <si>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t>
  </si>
  <si>
    <t>Организация деятельности по опеке и попечительству  (опека - УБУиО)</t>
  </si>
  <si>
    <t>Субвенции на осуществление полномочий по образованию и организации деятельности комиссий по делам несовершеннолетних и защите их прав (УБУиО)</t>
  </si>
  <si>
    <t>Осуществление отдельных государственных полномочий в области архивного дела (архив - УБУиО)</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</si>
  <si>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</si>
  <si>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полномочий в сфере трудовых отношений и государственного управления охраной труда (ДЭП - УБУиО)</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</si>
  <si>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</si>
  <si>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Обеспечение функционирования и развития систем видеонаблюдения с целью повышения безопасности дорожного движения, информирования населения  (МКУ "ЕДДС")</t>
  </si>
  <si>
    <t>В 2016 году из средств федерального бюджета предусмотрены расходы на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
Средства будут использованы до конца 2016 года.</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</si>
  <si>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(ЗАГС - УБУиО)</t>
  </si>
  <si>
    <t>Финансовая поддержка субъектов по обязательной и добровольной сертификации (декларированию) продукции (продовольственного сырья) местных товаропроизводителей</t>
  </si>
  <si>
    <t>Создание условий для развития субъектов, осуществляющих деятельность в следующих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</si>
  <si>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Строительство кладбища (ДГХ)</t>
  </si>
  <si>
    <t>Сквер в 5 "А" мкр. (УПиЭ)</t>
  </si>
  <si>
    <t>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(ДГХ)</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</si>
  <si>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(ДГХ, ХЭУ)</t>
  </si>
  <si>
    <t>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</si>
  <si>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зданий учреждений (замена светильников на светильники с энергосберегающими лампами,) (ДГХ)</t>
  </si>
  <si>
    <t>Установка (замена) индивидуальных приборов учета холодной и горячей воды, электрической энергии в части муниципальной собственности (КУИ)</t>
  </si>
  <si>
    <t xml:space="preserve">Финансовая поддержка Субъектов, осуществляющих производство, реализацию товаров и услуг в социально значимых видах деятельности, в части компенсации арендных платежей за нежилые помещения и по предоставленным консалтинговым услугам </t>
  </si>
  <si>
    <t>Улица Маяковского на участке от ул. 30 лет Победы до ул. Университетской в г. Сургуте (ДАиГ)</t>
  </si>
  <si>
    <t>Подпрограмма  V"Обеспечение мерами государственной поддержки по улучшению жилищных условий отдельных категорий граждан"</t>
  </si>
  <si>
    <t>Субвенции на реализацию основных общеобразовательных программ на выполнение функций классного руководителя (ДО)</t>
  </si>
  <si>
    <t xml:space="preserve">Субсидия на создание условий для осуществление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</si>
  <si>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2.2.1.3.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</si>
  <si>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(ДАиГ)</t>
  </si>
  <si>
    <t>20.1.1.2.</t>
  </si>
  <si>
    <t xml:space="preserve">Развитие общественной инфраструктуры и реализация приоритетных направлений развития </t>
  </si>
  <si>
    <t>Ожидаемый остаток средств 
за 2016 год
 (гр. 5 - гр.11)</t>
  </si>
  <si>
    <t>Субвенция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</si>
  <si>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7.1.</t>
  </si>
  <si>
    <t>7.1.1.</t>
  </si>
  <si>
    <t>7.1.1.1.</t>
  </si>
  <si>
    <t>7.1.1.2.</t>
  </si>
  <si>
    <t>7.1.1.3.</t>
  </si>
  <si>
    <t>Ожидаемое исполнение на 01.01.2017</t>
  </si>
  <si>
    <t xml:space="preserve">
Заключение соглашения по мероприятиям, финансируемым за счет субвенций, не требуется</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</si>
  <si>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t>
  </si>
  <si>
    <t>Обеспечение жильем граждан, уволенных с военной службы и приравненных к ним лиц (ДФ)</t>
  </si>
  <si>
    <t>Организация и обеспечение отдыха и оздоровления детей (лагеря ДО+ДКМПиС, путевки ДО)</t>
  </si>
  <si>
    <t>7.2.</t>
  </si>
  <si>
    <t>7.2.1.</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</si>
  <si>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(Королёва Ю.Г.)</t>
  </si>
  <si>
    <t>Государственная программа "Развитие культуры и туризма в Ханты-Мансийском автономном округе - Югре на 2016-2020 годы" (Грищенкова Г.Р.)</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</si>
  <si>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</si>
  <si>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(Пелевин А.Р.)</t>
  </si>
  <si>
    <t>Государственная программа Ханты-Мансийского автономного округа – Югры «Развитие образования в Ханты-Мансийском автономном округе – Югре на 2016-2020 годы» 
(Османкина Т.Н.)</t>
  </si>
  <si>
    <t>Государственная программа "Развитие здравоохранения  на 2016-2020 годы" 
(Пелевин А.Р.)</t>
  </si>
  <si>
    <t xml:space="preserve">"Развитие здравоохранения  на 2016-2020 годы" </t>
  </si>
  <si>
    <t xml:space="preserve">"Развитие образования в Ханты-Мансийском автономном округе – Югре на 2016-2020 годы» </t>
  </si>
  <si>
    <t xml:space="preserve">«Социальная поддержка жителей Ханты-Мансийского автономного округа – Югры на 2016-2020 годы» </t>
  </si>
  <si>
    <t xml:space="preserve">«Доступная среда в Ханты-Мансийском автономном округе – Югре на 2016-2020 годы» </t>
  </si>
  <si>
    <t>"Развитие культуры и туризма в Ханты-Мансийском автономном округе - Югре на 2016-2020 годы"</t>
  </si>
  <si>
    <t xml:space="preserve">"Развитие физической культуры и спорта в Ханты-Мансийском автономном округе — Югре на 2016 — 2020 годы" </t>
  </si>
  <si>
    <t xml:space="preserve">«Содействие занятости населения в Ханты-Мансийском автономном округе – Югре на 2016-2020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</si>
  <si>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t>
  </si>
  <si>
    <t>Пешков С.М.</t>
  </si>
  <si>
    <t xml:space="preserve">«Развитие лесного хозяйства и лесопромышленного комплекса Ханты-Мансийского автономного округа – Югры на 2016-2020 годы» </t>
  </si>
  <si>
    <t xml:space="preserve">«Социально-экономическое развитие,коренных малочисленных народов Севера Ханты-Мансийского автономного округа – Югры на 2016-2020 годы» </t>
  </si>
  <si>
    <t xml:space="preserve">"Обеспечение доступным и комфортным жильем жителей Ханты-Мансийского автономного округа - Югры в 2016-2020 годах" </t>
  </si>
  <si>
    <t xml:space="preserve">«Развитие жилищно-коммунального комплекса и повышение энергетической эффективности в Ханты-Мансийском автономном округе – Югре на 2016-2020 годы» </t>
  </si>
  <si>
    <t>Перунова С.А.</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</si>
  <si>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</si>
  <si>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2016-2020 годы» </t>
  </si>
  <si>
    <t>«Обеспечение экологической безопасности Ханты-Мансийского автономного округа – Югры на 2016-2020 годы"</t>
  </si>
  <si>
    <t xml:space="preserve">«Социально-экономическое развитие, инвестиции и инновации Ханты-Мансийского автономного округа – Югры на 2016-2020 годы» </t>
  </si>
  <si>
    <t xml:space="preserve">«Информационное общество Ханты-Мансийского автономного округа – Югры на 2016-2020 годы» </t>
  </si>
  <si>
    <t>"Развитие транспортной системы Ханты-Мансийского автономного округа — Югры на 2016-2020 годы"</t>
  </si>
  <si>
    <t xml:space="preserve">«Управление государственными финансами в Ханты-Мансийском автономном округе – Югре на 2016-2020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</si>
  <si>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t>
  </si>
  <si>
    <t xml:space="preserve">«Развитие гражданского общества Ханты-Мансийского автономного округа – Югры на 2016-2020 годы» </t>
  </si>
  <si>
    <t xml:space="preserve">«Управление государственным имуществом Ханты-Мансийского автономного округа – Югры на 2016-2020 годы» </t>
  </si>
  <si>
    <t xml:space="preserve">«Развитие и использование минерально-сырьевой базы Ханты-Мансийского автономного округа – Югры на 2016-2020 годы» </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</si>
  <si>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</si>
  <si>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Государственная программа "Развитие физической культуры и спорта в Ханты-Мансийском автономном округе — Югре на 2016 — 2020 годы" (Грищенкова Г.Р.)</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</si>
  <si>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(Пешков С.М.)</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</si>
  <si>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</si>
  <si>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</si>
  <si>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"Обеспечение доступным и комфортным жильем жителей Ханты-Мансийского автономного округа - Югры в 2016-2020 годах" (Фокеев А.А.)</t>
  </si>
  <si>
    <t>11.1.3.1.</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</si>
  <si>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(Кочетков В.В.)</t>
  </si>
  <si>
    <t>12.4.4.</t>
  </si>
  <si>
    <t>12.4.6.</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</si>
  <si>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(Перунова С.А.)</t>
  </si>
  <si>
    <t>13.1.4.</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</si>
  <si>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</si>
  <si>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</si>
  <si>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(Королёва Ю.Г.)</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</si>
  <si>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</si>
  <si>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Государственная программа "Развитие транспортной системы Ханты-Мансийского автономного округа — Югры на 2016-2020 годы (Фокеев А.А.)</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</si>
  <si>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</si>
  <si>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(Шерстнева А.Ю.)</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</si>
  <si>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</si>
  <si>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</si>
  <si>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</si>
  <si>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</si>
  <si>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</si>
  <si>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23.</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</si>
  <si>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(ДФ)</t>
  </si>
  <si>
    <t>Организация проведения оплачиваемых общественных работ для не занятых трудовой деятельностью и безработных граждан (ДФ)</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</si>
  <si>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t>
  </si>
  <si>
    <t>16.2.2.</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</si>
  <si>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"''Поликлиника "Нефтяник" на 700 посещений в смену в мкр. 37 г. Сургута "). </t>
  </si>
  <si>
    <t>-</t>
  </si>
  <si>
    <t>Ремонт улицы Студенческая</t>
  </si>
  <si>
    <t>Ремонт улицы Бажова</t>
  </si>
  <si>
    <t>Ремонт улицы Крылова (на участке от улицы Аэрофлотская до улицы Билецкого)</t>
  </si>
  <si>
    <t>Ремонт улицы Крылова (на участке от улицы  Билецкого до улицы 33 "З")</t>
  </si>
  <si>
    <t>Ремонт улицы Грибоедова (на участке от улицы Крылова до проезда Вербного)</t>
  </si>
  <si>
    <t>Ремонт улицы Республики</t>
  </si>
  <si>
    <t>Ремонт улицы Бульвар Писателей</t>
  </si>
  <si>
    <t>Ремонт проезда от дома № 21 по проспекту Мира до домов №№38,40 по улице Профсоюзов</t>
  </si>
  <si>
    <t>Ремонт проспекта Мира</t>
  </si>
  <si>
    <t>Ремонт Югорский тракт - 1 "З" (на участке от улицы Показаньева до спортивной базы "Здоровье")</t>
  </si>
  <si>
    <t>Ремонт улицы Профсоюзов (на участке от улицы Маяковского до улицы 30 лет Победы)</t>
  </si>
  <si>
    <t>Ремонт улицы Мелик-Карамова</t>
  </si>
  <si>
    <t>Ремонт улицы 30 лет Победы на пересечении с улицей Профсоюзов</t>
  </si>
  <si>
    <t>Ремонт улицы И. Захарова на пересечение с улицей 30 лет Победы на подходе со стороны улицы Университетской</t>
  </si>
  <si>
    <t>Субсидия на реконструкцию, расширение, модернизацию, строительство и капитальный ремонт объектов коммунального комплекса (ДГХ)</t>
  </si>
  <si>
    <t>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</si>
  <si>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Заключено соглашение от 11.02.2016  № АС-4с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t>
  </si>
  <si>
    <t>12.5.</t>
  </si>
  <si>
    <t>12.5.1.</t>
  </si>
  <si>
    <t>Подпрограмма 9 "Реализация Адресной программы Ханты-Мансийского автономного округа - Югры по переселению граждан из аварийного жилищного фонда"</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</si>
  <si>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 (ДАиГ)</t>
  </si>
  <si>
    <t>Детский сад №2 на 300 мест в 38 микрорайоне г. Сургута (ДАиГ)</t>
  </si>
  <si>
    <t>Билдинг-сад на 40 мест, ул. Каролинского, 10 (ДАиГ)</t>
  </si>
  <si>
    <t>Средняя общеобразовательная школа в микрорайоне 32 г. Сургута</t>
  </si>
  <si>
    <t>Средняя общеобразовательная школа в микрорайоне 33 г. Сургута</t>
  </si>
  <si>
    <t>Подпрограмма "Обеспечение прав граждан на доступ к культурным ценностям и информации"</t>
  </si>
  <si>
    <t>Кассовый план 3 кв. - 1 225,88 тыс. руб. на обновление материально-технической базы МБУ ДО "Детская школа искусств №1" (приобретение фортепьяно). Аукцион на стадии размещения закупки согласно утвержденного плана-графика.</t>
  </si>
  <si>
    <t>Спорт.комп. с плав.бас.50м г. Сургут (УКС)</t>
  </si>
  <si>
    <t>Развитие многофункциональных центров предоставления государственных и муниципальных услуг ( МФЦ г. Сургута)</t>
  </si>
  <si>
    <t>Ремонт улицы И. Каролинского на пересечении с улицей Университетской на подходе со стороны улицы Геологической</t>
  </si>
  <si>
    <t xml:space="preserve">Ремонт улицы И. Каролинского на пересечении с улицей 30 лет Победы на подходе со стороны улицы Университетской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</si>
  <si>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"'Детская школа искусств в мкр. ПИКС"). 
Заключение соглашения по мероприятию "Осуществление отдельных государственных полномочий в области архивного дела", финансируемому за счет субвенции из окружного бюджета, не требуется.</t>
  </si>
  <si>
    <t>Соглашение между Департаментом строительства ХМАО - Югры и Администрацией города по мероприятию "Улучшение жилищных условий молодых семей в соответствии с федеральной целевой программой "Жилище"  государственной программы не поступало. Ориентировочный срок заключения з квартал 2016 года.</t>
  </si>
  <si>
    <t>По мероприятиям 11.2.2, 11.2.3, 11.2.4, 11.2.5, финансируемым за счет субвенций, заключение соглашения не требуется.</t>
  </si>
  <si>
    <t>25 ГП ХМАО-Югры, из них:                                                                                                                                                                                                                                                                                
13 ГП - мероприятия реализуются;
12 ГП - реализация мероприятий не запланирована</t>
  </si>
  <si>
    <t>"Оказание содействия добровольному переселению в Ханты-Мансийский автономный округ – Югру соотечественников, проживающих за рубежом, на 2016–2020 годы"</t>
  </si>
  <si>
    <t>7.1.2.</t>
  </si>
  <si>
    <t>7.1.2.1.</t>
  </si>
  <si>
    <t>7.1.2.2.</t>
  </si>
  <si>
    <t>Постановлением АГ от 18.02.2016 № 1180 внесены изменения в постановлением АГ от 12.05.2014 № 3062 "О порядке предоставления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Расходы запланированы на 3 квартал 2016 года.</t>
  </si>
  <si>
    <t>Произведена оплата по контрактам заключенным в 2015 году за счет средств фонда реформирования ЖКХ. (Соглашение № 46-15 от 10 июля 2015 A3:M29о предоставлении субсидии  бюджету муниципального образования город Сургут на выполнение мероприятий по переселению граждан из аварийного жилищного фонда на 2015-2016 год)</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</si>
  <si>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</si>
  <si>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Подпрограмма "Укрепление единого культурного пространства" (ДКМпиС)</t>
  </si>
  <si>
    <t>Кассовый план 3 кв. - 877,00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</si>
  <si>
    <t>5.2.1.</t>
  </si>
  <si>
    <t>Стимулирование культурного разнообразия</t>
  </si>
  <si>
    <t>11.1.4.</t>
  </si>
  <si>
    <t>Создание наемных домов социального использования (ДАиГ)</t>
  </si>
  <si>
    <t>Организация временного трудоустройства безработных граждан, испытывающих трудности в поиске работы (ДО, УПиЭ)</t>
  </si>
  <si>
    <t>7.1.2.3.</t>
  </si>
  <si>
    <t>Организация проведения оплачиваемых общественных работ для не занятых трудовой деятельностью и безработных граждан (УПиЭ)</t>
  </si>
  <si>
    <t>Заключено соглашение от 14.03.2016 № 35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в 2016 году" между Департаментом культуры ХМАО – Югры и Администрацией города.</t>
  </si>
  <si>
    <t xml:space="preserve">Возмещение затрат семейному бизнесу, осуществляющему производство, реализацию товаров и услуг в социально значимых видах деятельности, определенных статьей 8 настоящего порядка, и социальному предпринимательству </t>
  </si>
  <si>
    <t>Капитальный ремонт объектов коммунального комплекса (ДГХ)</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</si>
  <si>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</si>
  <si>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</si>
  <si>
    <t>Заключен договор от 25.03.2016 № 42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</si>
  <si>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</si>
  <si>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</si>
  <si>
    <t>Организация временного трудоустройства безработных граждан, испытывающих трудности в поиске работы (ДФ)</t>
  </si>
  <si>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</si>
  <si>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2.1.8.1.</t>
  </si>
  <si>
    <t>2.1.8.2.</t>
  </si>
  <si>
    <t>Субсидия на дополнительное финансовое обеспечение мероприятий по организации питания обучающихся (ДГХ, ДО)</t>
  </si>
  <si>
    <t>2.3.</t>
  </si>
  <si>
    <t>2.3.1.</t>
  </si>
  <si>
    <t>Подпрограмма "Система оценки качества образования и информационная прозрачность системы образования"</t>
  </si>
  <si>
    <t>18.1.1.1</t>
  </si>
  <si>
    <t>Нераспределенные ассигнования</t>
  </si>
  <si>
    <t>18.1.2</t>
  </si>
  <si>
    <t>С учетом максимальной суммы субсидии для одного субъекта МСП - поддержка будет оказана не менее чем 13 субъектам МСП. А также не менее чем 1 организации. С начала года поступило 44 заявления на получение поддержки, из них по 22 заявлениям - отказы, по 2 - изданы постановления АГ о выделении поддержки, по 19 - в настоящее время ведется работа</t>
  </si>
  <si>
    <t>Поддержка будет оказана не менее чем 1 организации.
Поступило 1 заявление - подготовлен отказ в предоставлении поддержки</t>
  </si>
  <si>
    <t>С учетом максимальной суммы субсидии для одного субъекта - поддержка будет оказана не менее чем 1 субъектe МСП.
Заявлений по направлению не поступало</t>
  </si>
  <si>
    <t xml:space="preserve">С учетом максимальной суммы субсидии для одного субъекта - поддержка будет оказана не менее чем 7 субъектам МСП.
Заявлений по направлению - 9, отказов - 3, в работе в настоящее время - 6.
</t>
  </si>
  <si>
    <t xml:space="preserve">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</si>
  <si>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t xml:space="preserve">
Кассовый план 1 кв. - 494 тыс. руб., кассовый план 2 кв. - 506  тыс. руб. из них:
 -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произведена.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 (2 квартал). Во втором квартале планируется заключение договоров на сумму 500 тыс. руб., оплата услуг будет произведена по факту оказания услуг в соответствии с условиями заключаемых договоров.</t>
  </si>
  <si>
    <t>Развитие региональной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(ДО)</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</si>
  <si>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01.05.2016 соглашение  подписано. Оригинал соглашения не поступил.</t>
  </si>
  <si>
    <t xml:space="preserve">Заключено соглашение  от 09.02.2016 № С-48/16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Заключено соглашение от 09.02.2016 № С-65/16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t>
  </si>
  <si>
    <t>Информация о реализации государственных программ Ханты-Мансийского автономного округа - Югры
на территории городского округа город Сургут на 01.06.2016 года</t>
  </si>
  <si>
    <t>на 01.06.2016</t>
  </si>
  <si>
    <t xml:space="preserve">План на 2016 год:
- 45 672,0 тыс. руб. - заработная плата за классное руководство;
- 13 792,94 тыс. руб. - начисления на выплаты по оплате труда.
Неизрасходованный остаток профинансированных средств 2 053,47 тыс. руб. - срок выплаты заработной платы и начислений на выплаты по оплате труда до 15 числа месяца, следующего за расчетным.      
</t>
  </si>
  <si>
    <t xml:space="preserve">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
Неизрасходованный остаток профинансированных средств 6 252,91 тыс. руб. - срок выплаты заработной платы и начислений на выплаты по оплате труда до 15 числа месяца, следующего за расчетным.
</t>
  </si>
  <si>
    <t>Заключен МК на сумму 148 030,65 тыс. руб. на оказание услуг по организации горячего питания в муниципальных общеобразовательных учреждениях. Срок оказания услуги с 01.01.2016 по 31.12.2016.
3 393,6 тыс.руб. - заключены договоры на оказание услуги по обеспечению предоставления завтраков и обедов в учебное время обучающимся негосударственных учреждений;
2 524,03 тыс.руб.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7 626,53 руб. от профинансированного объема в связи с уменьшением фактического количества дней посещения детьми общеобразовательных учреждений в связи с болезнями детей, актированными днями, приостановлением учебного процесса в общеобразовательных организациях с целью предупреждения эпидемического распространения гриппа и ОРВИ. Средства будут освоены в 2016 году в соответствии с целевым назначением.</t>
  </si>
  <si>
    <t>Средства будут израсходованы до конца 2016 года на оплату услуг доступа к сети «Интернет» общеобразовательным учреждениям.
Не исполнено 149,26 тыс. руб. от профинансированного объема
34,85 тыс. руб. - оплата по счетам НОУ СОШ с углубленным изучением отдельных предметов будет произведена в июне 2016 (учреждение ликвидируется с 01.07.2016).
 - 114,41 тыс. руб. оплата по заявкам общеобразовательных учреждений в следующем отчетном месяце.
- 222,13 тыс. руб. экономия по результатам заключения договоров на предоставление доступа к сети Интернет по более низкому тарифу, подлежащая возврату в бюджет автономного округа.</t>
  </si>
  <si>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Соглашения с частными организациями о предоставлении субсидии на создание условий для осуществления присмотра и ухода за детьми, содержание детей заключены.
Неисполнено 82,66 тыс. руб. от профинансированного объема субсидия частным организациям, осуществляющим образовательную деятельность по реализации образовательных программ дошкольного образования, перечисляется по факту предоставления Сертификатов дошкольника.</t>
  </si>
  <si>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июль 2016 года, НМЦК-23305,13 тыс.руб. </t>
  </si>
  <si>
    <t>Аукционы по приобретению жилых помещений для участников программы (24 квартиры) не состоялись по причине отсутствия заявок. Повторно размещены заявки на проведение аукционов в апреле 2016 года,аукционы по приобретению жилых помещений для участников программы (24 квартиры) не состоялись по причине отсутствия заявок. Очередное размещение заявок на проведение аукционов по приобретению жилых помещений - июнь 2016 года.. Справкой ДФ ХМАО-Югры от 05.05.2016 года №500/13/03 "Об изменении показателей сводной бюджетной росписи расходов на 2016 год" доведены дополнительные средства окружного бюджета в сумме 6947,1 тыс.руб. На заседании ДГ в июне 2016 года будет рассмотрен вопрос о дополнительном выделении средств местного бюджета для реализации данного мероприятия.</t>
  </si>
  <si>
    <t>1.На выполнение работ по обустройству данного объекта заключен ГПД № 20 от 23.05.16 с ЗАО "Компания "КС" на сумму 6 958,69 тыс. руб.
2.На проведение строительного контроля за выполнением работ по строительству (обустройству) сквера в 5 "А" мкр. заключен ГПД № 24 от 16.05.16 с Акционерным обществом "Государственная компания "Северавтодор" на сумму 226,98 тыс. руб.
3. 4 280,33 тыс. руб. - экономия возникшая в результате проведения аукциона в электронной форме.</t>
  </si>
  <si>
    <t>Отклонение уточненного плана от утвержденного обусловлено поступлением  справок Департамента финансов ХМАО-Югры  от 21.03.2016 № 230/03/07 на основании приказа Департамента образования и молодежной политики ХМАО-Югры от 02.03.2016 № 273 "Об открытии лимитов".
230 тыс. руб. - средства перечислены на лицевые счета образовательных учреждений.</t>
  </si>
  <si>
    <t xml:space="preserve"> - 9 694,30 тыс.руб. - заключен контракт на приобретение путевок для детей-сирот и детей, оставшихся без попечения родителей;
3 959,644 тыс. руб. - освоено;
- 66,06 тыс. руб. - экономия, сложившаяся после заключения контракта, подлежащая освоению в 2016 году.
Планируемый срок освоения средств:
3 959,644 тыс.руб. - 1 полугодие;
9 760,36 тыс.руб. - 2 полугодие.</t>
  </si>
  <si>
    <t xml:space="preserve">ДО:   План на организацию отдыха и оздоровления детей, всего 105 755,12 руб., в том числе:
1) 63 688,70 тыс.руб. - средства окружного бюджета на оказание услуг по организации отдыха и оздоровления детей (приобретение путевок), из них:
- 42 662,88 тыс. руб. - заключены контракты на оказание услуг по организации отдыха и оздоровления детей, срок оказания услуг с 05.04.2016;
 - 1 143,42 тыс. руб. - конкурсная документация на приобретение путевок на организацию отдыха и оздоровления детей размещена в системе муниципального заказа;
 - 18 378,53 тыс. руб. - освоено;
 - 1 503,87 тыс. руб. - экономия, сложившаяся после заключения контрактов, подлежащая освоению в 2016 году.
</t>
  </si>
  <si>
    <t>Закупка завершена. По результатам аукциона признан победителем ООО "НЕСТОР-Автодор". В настоящее время ведется работа по заключению муниципального контракта №20-ГХ на сумму 27 180,93 тыс. руб.  Срок выполнения работ - по 30.09.2016, расходы запланированы на 2-4 кварталы 2016 года.
Экономия в сумме 19 683,65 тыс.руб.:
- 19 682,74 тыс.руб - экономия по результатам торгов;
-  0,91 тыс.руб. - экономия в результате уточнения сметной стоимости СМР.
46, 84тыс. руб. - планируется заключение договора до 100 тыс.руб.  на услуги по изготовлению технического плана, расходы запланирована на 4 квартал 2016.</t>
  </si>
  <si>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тыс.руб.:
- 7/КЗ от 02.03.2015 со СГМУ КП на сумму 76,13 тыс.руб.;
- 10 от 09.03.2016 со СГМУП КП на сумму 11 525,69 тыс.руб. (ОБ - 1 062,7 тыс.руб., МБ - 10 462,99 тыс.руб.).
Произведено финансирование:
- 3 105,38 тыс.руб. - возмещены расходы за  январь-апрель 2016, в том числе 76,13 тыс.руб. - кредиторская задолженность 2015 года.
УБУиО: 29,30 тыс.руб. запланированы  на оплату труда работнику за выполнение функции по учету. Срок оплаты - декабрь 2016 года.
0,24 тыс.руб. - нераспределенный объем субсидии до определения получателей субсидии.</t>
  </si>
  <si>
    <t>Кассовый план 5 мес. - 38 204,94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</si>
  <si>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Содействие улучшению положения на рынке труда не занятых трудовой деятельностью и безработных граждан (ДО, УПиЭ, ДКМПиС)</t>
  </si>
  <si>
    <t>7.1.1.4.</t>
  </si>
  <si>
    <t>Кассовый план 5 мес. - 9 594,90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</si>
  <si>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Содействие в трудоустройстве незанятых инвалидов на оборудованные (оснащенные) для них рабочие места(ДКМПиС)</t>
  </si>
  <si>
    <t>Соглашение от 04.03.2016 № 23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ГП.     Расходы запланированы на 3 квартал 2016 года.</t>
  </si>
  <si>
    <t>Открытый конкурс на выполнение работ по ремонту дорог улиц г. Сургута, в том числе данный объект проведен 18.05.2016. В настоящее время ведется работа комиссии, по результатам которой будет заключен муниципальный контракт на сумму 103 837,71 тыс.руб., в том числе на данный объект 15 395,93 тыс.руб.
- 0,10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</si>
  <si>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Открытый конкурс на выполнение работ по ремонту дорог улиц г. Сургута,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103 837,71 тыс.руб., в том числе на данный объект 9 298,54 тыс.руб.
- 0,06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</si>
  <si>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Открытый конкурс на выполнение работ по ремонту дорог улиц г. Сургута,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103 837,71 тыс.руб., в том числе на данный объект 57 641,80 тыс.руб.
- 0,36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</si>
  <si>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Электронный аукцион на выполнение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(Лот № 1) проведен 16.05.2016. В настоящее время ведется работа комиссии, по результатам которой будет заключен муниципальный контракт на сумму 18 299,99 тыс.руб.,  в том числе на данный объект  2 594,80 тыс.руб. (1259м2)*.
- 240,14тыс.руб.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</si>
  <si>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Электронный аукцион на выполнение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(Лот № 1) проведен 16.05.2016. В настоящее время ведется работа комиссии, по результатам которой будет заключен муниципальный контракт на сумму 18 299,99 тыс.руб.,  в том числе на данный объект 3052,34 тыс.руб. (1481м2)*
- 282,49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</si>
  <si>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Заключен муниципальный контракт №18-ГХ от 13.05.2016 года на проведение работ по восстановлению асфальтобетонного покрытия методом сплошного асфальтирования с АО "ГК "Северавтодор" на сумму 111 155,41 тыс.руб. в том числе на данный объект 16 228,96 тыс.руб. (2 771м2)*
Выполнение работ осуществляется Подрядчиком с момента подписания муниципального контракта по 15.10.2016.
- 10,61 тыс.руб. - экономия по результатам размещения муниципального заказа.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</si>
  <si>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Открытый конкурс на выполнение работ по ремонту дорог улиц г. Сургута,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103 837,71 тыс.руб., в том числе на данный объект 11 104,09 тыс.руб.
- 0,07 тыс.руб.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</si>
  <si>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Открытый конкурс на выполнение работ по ремонту дорог улиц г. Сургута,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103 837,71 тыс.руб., в том числе на данный объект 10 397,36 тыс.руб.
- 0,07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</si>
  <si>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Электронный аукцион на выполнение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(Лот № 1) проведен 16.05.2016. В настоящее время ведется работа комиссии, по результатам которой будет заключен муниципальный контракт на сумму 18 299, 99 тыс.руб.,  в том числе на данный объект 11 465,33 тыс.руб. (5563м2)*.
- 1 061,08 тыс.руб.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</si>
  <si>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Открытый конкурс на выполнение работ по ремонту дорог улиц г. Сургута (Лот № 2),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104 008,78 тыс.руб., в том числе на данный объект 47 690,26 тыс.руб.
- 139,99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</si>
  <si>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Открытый конкурс на выполнение работ по ремонту дорог улиц г. Сургута (Лот № 2), в том числе на данный объект, проведен 18.05.2016. В настоящее время ведется работа комиссии, по результатам которой будет заключен муниципальный контракт на сумму 104 008,78 тыс.руб., в том числе на данный объект 56 318,52 тыс.руб.
- 129,67 тыс.руб. - экономия по результатам размещения муниципального заказа.
Срок выполнения работ -  с момента подписания муниципального контракта по 15.10.2016.
Расходы запланированы на 3 квартал 2016 года.</t>
  </si>
  <si>
    <t>Заключен муниципальный контракт №18-ГХ от 13.05.2016 года на проведение работ по восстановлению асфальтобетонного покрытия методом сплошного асфальтирования с АО "ГК "Северавтодор" на сумму 111 155,41 тыс.руб., в том числе на данный объект 11 295,75 тыс.руб. (5 025м2)*
Выполнение работ осуществляется Подрядчиком с момента подписания муниципального контракта по 15.10.2016.
- 19,24 тыс.руб. - экономия по результатам размещения муниципального заказа.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</si>
  <si>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Заключен муниципальный контракт №22-ГХ от 24.05.2016 года на проведение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с ООО "Автодорсевер" на сумму 15 969,80 тыс.руб., в том числе на данный объект 5 365,90 тыс.руб. (2 383м2)*
Выполнение работ осуществляется Подрядчиком с момента подписания муниципального контракта по 15.10.2016 г.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</si>
  <si>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Заключен муниципальный контракт №22-ГХ от 24.05.2016 года на проведение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с ООО "Автодорсевер" на сумму 15 969,80 тыс.руб., в том числе на данный объект 2 747,12 тыс.руб. (1 220м2)*
Выполнение работ осуществляется Подрядчиком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</si>
  <si>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Заключен муниципальный контракт №22-ГХ от 24.05.2016 года на проведение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с ООО "Автодорсевер" на сумму 15 969,80 тыс.руб., в том числе на данный объект 3 589,27 тыс.руб. (1594м2)*
Выполнение работ осуществляется Подрядчиком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</si>
  <si>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Заключен муниципальный контракт №22-ГХ от 24.05.2016 года на проведение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с ООО "Автодорсевер" на сумму 15 969,80 тыс.руб., в том числе на данный объект 3 557,75 тыс.руб. (1580м2)*
Выполнение работ осуществляется Подрядчиком с момента подписания муниципального контракта по 15.10.2016.
Расходы запланированы на 3 квартал 2016 года.
* Объемы по восстановлению асфальтобетонного покрытия методом сплошного асфальтирования будут корректироваться по факту выполненных работ.</t>
  </si>
  <si>
    <t>Отклонение уточненного плана от утвержденного на 2,30 тыс.руб. - уточнение начальной стоимости контракта.</t>
  </si>
  <si>
    <t>Соглашение о предоставлении субсидии из бюджета ХМАО-Югры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2016-2017 годов на сумму 23 857,37 тыс.руб.  направлено на согласование в ДЖККиЭ ХМАО-Югры письмом от 18.05.2016 № 09-02-3201/16. По состоянию на 01.06.2016 подписанное округом соглашение не поступало.
Постановлением Правительства ХМАО-Югры от 19.02.2016 № 47-п  внесены изменения в  порядок  реализации мероприятия 1.2 "Предоставление субсидий на капитальный ремонт (с заменой) газопроводов, систем  теплоснабжения, водоснабжения и водоотведения для подготовки к осенне-зимнему периоду". Изменения влекут изменения в существующем механизме реализации  мероприятий в рамках Государственной программы ХМАО-Югры "Развитие жилищно-коммунального комплекса и повышение энергетической  эффективности в Ханты-Мансийском  автономном округе- Югре на 2016-2020 годы" и ставит под угрозу срыва выполнения мероприятия. ДГХ в округ направлено письмо от 18.03.0216 № 09-02-1711/16 с ходатайством об отмене изменений, внесенных в п. 7 Порядка. Предложение округом учтено, внесены соответствующие изменения в порядок.</t>
  </si>
  <si>
    <t>Предупреждение безработицы в Ханты-Мансийском автономном округе - Югре (ДКМПиС, УПиЭ)</t>
  </si>
  <si>
    <t>федеральный бюджет (доп.ФК 5101)</t>
  </si>
  <si>
    <t xml:space="preserve">Объемы финансирования  доведены в сумме -  912,00 тыс. руб. из следующих источников финансирования:                    
- субсидия из бюджета автономного округа - 638,40 тыс. руб.
- субсидия из бюджета муниципального образования - 273,60 тыс. руб. 
Субсидия из бюджета автономного округа:
- личное страхование народных дружинников  - 35,20 тыс. руб. (исполнение обязательств - сентябрь месяц)
- материальное стимулирование граждан, являющихся членами народных дружин  - 603,21 тыс. руб. в том числе:
- по итогам работы за 6 месяцев  - 300,64 тыс. руб. (исполнение обязательств  - июль месяц);
* по итогам работы за 11 месяцев  - 302,57 тыс. руб. (исполнение обязательств  - декабрь месяц) 
Субсидия из бюджета муницпального образования:
- приобретение форменной одежды  - 100,00 тыс. руб., Оплата в мае 85,031 тыс.руб, остаток 14,986.
- приобретение удостоверений  - 30,00 тыс. руб. Пплачено в мае 100 %
- материальное стимулирование граждан, являющихся членами народных дружин  - 143,60 тыс. руб. в том чмсле:  
- по итогам работы за 6 месяцев  - 71,80 тыс. руб. (исполнение обязательств  - июль месяц);
- по итогам работы за 11 месяцев  - 71,80 тыс. руб. (исполнение обязательств  - декабрь месяц) </t>
  </si>
  <si>
    <t>Кассовый план 5 мес. - 4 750,26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</si>
  <si>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5 мес. - 17 246,59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</si>
  <si>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Отклонение уточненного от утвержденного плана обусловлено выделением субсидии, согласно приказу Департамента экономического развития ХМАО-Югры от 10.12.2015 № 259 "О предоставлении субсидий" в сумме 90 828,80 т.р., с обеспечением доли местного бюджета в сумме 4 780,50 т.р.
Исполнение средств до конца 2016 года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t>
  </si>
  <si>
    <t>Выделена субсидия,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25 862,27 т.р.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3 871,78 т.р.
1) В апреле-мае 2016 года исполнены средства в сумме 7 011,55 т.р. (в том числе за счет средств местного бюджета - 40,50 т.р., за счет средств окружного бюджета - 6 971,05 т.р.) по заключенным договорам (контрактам):
- на поставку программно-аппаратного комплекса "Универсальный криптошлюз и межсетевой экран" по МК51/ЭА-15 от 23.12.2015 с ООО "Астерит" в сумме 207,49 т.р.;
- на поставку и гарантийное обслуживание средств видеонаблюдения по МК58/ЭА-15 от 28.12.2015 с ИП Доска Виктор Васильевич в сумме 640,56 т.р.;
- на поставку и гарантийное обслуживание серверного оборудования по МК66/ЭА-15 от 18.01.2016 с ООО "РемМарк" в сумме 3 591,66 т.р.;
- на поставку и внедрение системы управления электронной очередью для нужд МКУ "МФЦ г. Сургута" по МК67/ЭА-15 от 26.01.2016 с ООО "Унитех" в сумме 1 251,63 т.р.;
- на поставку и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915,19 т.р.;
- на выполнение работ по ремонту нежилого помещения под нужды МФЦ г. Сургута по дог.№ 31-Р от 21.04.2016 с ООО "СНК" в сумме 43,82 т.р. (в том числе за счет средств местного бюджета - 4,38 т.р., за счет средств окружного бюджета - 39,44 т.р.);
- на выполнение работ по ремонту нежилого помещения под нужды МФЦ г. Сургута по дог.№ 33-Р от 21.04.2016 с ООО "СНК" в сумме 75,50 т.р. (в том числе за счет средств местного бюджета - 7,55 т.р., за счет средств окружного бюджета - 67,95 т.р.);
- на выполнение работ по ремонту нежилого помещения под нужды МФЦ г. Сургута по дог.№ 34-Р от 21.04.2016 с ООО "СНК" в сумме 96,92 т.р. (в том числе за счет средств местного бюджета - 9,69 т.р., за счет средств окружного бюджета - 87,22 т.р.);
- на выполнение работ по ремонту нежилого помещения под нужды МФЦ г. Сургута по дог.№ 35-Р от 21.04.2016 с ООО "СНК" в сумме 88,79 т.р. (в том числе за счет средств местного бюджета - 8,88 т.р., за счет средств окружного бюджета - 79,91 т.р.);
- на выполнение работ по ремонту нежилого помещения под нужды МФЦ г. Сургута по дог.№ 32-Р от 21.04.2016 с ООО "СНК" в сумме 100,0 т.р. (в том числе за счет средств местного бюджета - 10,0 т.р., за счет средств окружного бюджета - 90,0 т.р.).
2) В  июне 2016 года ожидается исполнить средства на сумму 18 090,95 т.р. (в том числе за счет средств местного бюджета - 2 816,95 т.р., за счет средств окружного бюджета - 15 274,00 т.р.) по заключенным контрактам:
- на выполнение работ по ремонту нежилого помещения под нужды МФЦ г. Сургута по МК65/ЭА-15 от 18.01.2016 с ООО "СтройНордКомплекс" в сумме 13 987,13 т.р. (в том числе за счет средств местного бюджета - 1 398,71 т.р., за счет средств окружного бюджета - 12 588,42 т.р.).
- на поставку многофункционального устройства по МК09/ЭА-16 от 30.05.2016 с ООО "РемМарк" на сумму 423,80 т.р. за счет средств окружного бюджета;
- на поставку детекторов по МК08/ЭА-16 от 30.05.2016 с ООО "Компания Вероника" на сумму 1 721,18 т.р. (в том числе за счет средств местного бюджета - 531,97 т.р., за счет средств окружного бюджета - 1 189,21 т.р.);
- на поставку технических средств на сумму 1 085,85 т.р. (в том числе за счет средств местного бюджета - 322,68 т.р., за счет средств окружного бюджета - 763,17 т.р.). Контракт на подписи с ООО "РемМарк";
- на поставку переферийного оборудования и копировально-множительной техники на сумму 872,99 т.р. (в том числе за счет средств местного бюджета - 563,59 т.р., за счет средств окружного бюджета - 309,40 т.р.). Контракт на подписи с ООО "РемМарк".
3) Средства в сумме 3 637,87 т.р., ожидается исполнить до конца 2016 года (в том числе за счет средств местного бюджета - 914,96 т.р., за счет средств окружного бюджета - 2 722,91 т.р.) в соответствии с планом-графиком размещения заказов:
- на поставку технических средств на сумму 437,50 т.р. (в том числе за счет средств местного бюджета - 125,0 т.р., за счет средств окружного бюджета - 312,50 т.р.). Аукцион состоится 14.06.2016;
- на поставку серверного оборудования на сумму 600,57 т.р. за счет средств окружного бюджета.  Аукцион состоится 06.06.2016;
- на оборудование - 1 677,87 т.р. (в том числе за счет средств местного бюджета - 513,38 т.р., за счет средств окружного бюджета - 1 164,48 т.р.). Готовятся документы к заявке;
- на программное обеспечение - 921,93 т.р. (в том числе за счет средств местного бюджета - 276,58 т.р., за счет средств окружного бюджета - 645,35 т.р.). Готовятся документы к заявке.
4) Ожидаемый остаток средств по результатам проведенных ремонтных работ в сумме 993,69 т.р. (в том числе за счет средств местного бюджета - 99,37 т.р., за счет средств окружного бюджета - 894,32 т.р.).</t>
  </si>
  <si>
    <t>бюджет ХМАО - Югры (доп.ФК0235)</t>
  </si>
  <si>
    <t>С учетом максимальной суммы субсидии для одного субъекта - поддержка будет оказана не менее чем 4 субъектам МСП.</t>
  </si>
  <si>
    <t xml:space="preserve">Исполнение запланировано на 3 квартал 2016 года. Прием заявлений на получение поддержки и заседание грантовой комиссии запланированы на июнь 2016 года. </t>
  </si>
  <si>
    <t>С учетом максимальной суммы субсидии для одного субъекта - поддержка будет оказана не менее чем 3 субъектам МСП.</t>
  </si>
  <si>
    <t>С учетом максимальной суммы субсидии для одного субъекта - поддержка будет оказана не менее чем 5 субъектам МСП.
Заявлений по направлению - 4, отказов - 1, в работе в настоящее время - 2, поддержка оказана 1 субъекту МСП.</t>
  </si>
  <si>
    <t>С учетом максимальной суммы субсидии для одного субъекта - поддержка будет оказана не менее чем 4 субъектам МСП. Заявлений по направлению - 29, отказов - 15, в работе в настоящее время - 9, поддержка оказана 5 субъектам МСП.</t>
  </si>
  <si>
    <t>С учетом максимальной суммы субсидии для одного субъекта - поддержка будет оказана не менее чем 5 субъектам МСП.
Заявлений по направлению - 20, отказов - 12, в работе в настоящее время - 5, выданы 3 субсидии</t>
  </si>
  <si>
    <t>Бюджет утвержден Решением Думы от 17.12.2015 №820-V ДГ. Средства Субсидии из средств окружного бюджета в сумме 11 769 600 рублей утвреждены решением Думы города от 26.04.2016 №865-V ДГ.
Ожидаемое исполнение по итогам 2016 года 100%.</t>
  </si>
  <si>
    <t>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на сумму 7 044,04 тыс.руб.                        На апрельской Думе города изменено наименование основного мероприятия муниципальной программы в связи с внесёнными изменениями в наименование мероприятия государственную программу с 01.01.2016. Порядок получения субсидии на согласовании. После выхода порядка предоставления субсидии и перечня получателей субсидии, планируется заключение соответствующего соглашения. Расходы запланированы на 2-4 кварталы 2016.</t>
  </si>
  <si>
    <t>Кассовый план 5 мес. - 4 625,81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</si>
  <si>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Подпрограмма 2 "Профилактика правонарушений"</t>
  </si>
  <si>
    <t>13.3.</t>
  </si>
  <si>
    <t>13.3.1.</t>
  </si>
  <si>
    <t>Подпрограмма 5 "Развитие российского казачества"</t>
  </si>
  <si>
    <t>Военно-патриотическое,духовно-нравственное и физическое воспитание казачьей молодежи</t>
  </si>
  <si>
    <t>В соответствии с новыми требованиями ст.16 Федерального закона от 23.11.2009                № 261-ФЗ  проведение последующего обязательного  энергетического обследования не требуется для организаций с участием муниципального образования, если совокупные затраты на потребление энергоресурсов не превышают в стоимостном выражении 50 млн. руб. за календарный год. Данные организации заносят информацию об энергосбережении и о повышении энергоэффективности в Модуль ГИС "Энергоэффективность", в соответствии с Порядком, утвержденным приказом Минэнерго России от 30.06.2014 № 401.          По МКУ "ДЭАЗиИС" - 1 468,18 тыс.руб.: планируется проведение обязательного энергетического обследования на сумму 199,82 тыс.руб.. в двух муниципальных учреждениях, где отсутствуют энергопаспорта (МБОУ № 44 "Сибирячок", МБОУ ДО ЦНТТ "Информатика+"), работы запланированы на ноябрь 2016 г. Средства в размере 1 268,36 тыс.руб. планируется переместить на выполнение работ по замене светильников с энергосберегающими лампами в 4 муниципальных учреждениях сферы образования  (рассмотрено и одобрено на  бюджетной комиссии 25.05.2016) решением Думы города, заседание которой состоится в июне 2016. 
По МКУ "ХЭУ" - 770,00 тыс.руб.: средства в размере 515,44 тыс.руб. планируется переместить на выполнение работ по модернизации системы теплоснабжения по объекту: Гаражи, ул. 30 лет Победы, 19Б (рассмотрено и одобрено на бюджетной комиссии 25.05.2016) решением Думы города, заседание которой состоится в июне 2016. Средства в размере 254,56 тыс.руб. планируется перераспределить на другие мероприятия программы.
По СГМУП "Горводоканал" - 3 037,00 тыс.руб.: работы запланированы на ноябрь 2016 года.</t>
  </si>
  <si>
    <t>По МКУ "ХЭУ" - 1 819,78 тыс.руб. планируется переместить на выполнение работ по модернизации системы теплоснабжения по объекту: Гаражи, ул. 30 лет Победы, 19Б (рассмотрено и одобрено на бюджетной комиссии 25.05.2016) решением Думы города, заседание которой состоится в июне 2016. Ведется работа по подготовке технического задания и разработке конкурсной документации, опубликование на сайте гос.закупок - июль, заключение  муниципального контракта -  август, оплата по контракту -  ноябрь 2016.
Средства в сумме 1 268,36 тыс.руб. планируется переместить на выполнение работ по замене светильников с энергосберегающими лампами в 4 муниципальных учреждениях сферы образования (с мероприятия 3.4.1).</t>
  </si>
  <si>
    <t xml:space="preserve">По СГМУП "ГВК": Подготовлена конкурсная документация, 24.05.2016 проведен открытый конкурс по выбору подрядной организации на выполнение  СМР и определен победитель ООО "ТехноСтрой" - договор подряда на стадии согласования, заключение  договора и начало выполнения работ - июнь, оплата по договору - 4 квартал 2016. </t>
  </si>
  <si>
    <t>Реконструкция котельных установок, в том числе: реконструкция котельного оборудования, внедрение частотных преобразователей на котельном оборудовании (ДГХ)</t>
  </si>
  <si>
    <t>Согласно представленного отчета СГМУП "ГТС"  планируемый срок размещения закупок "Разработка проектной и рабочей документации" - апрель 2016. Протоколом от 13.04.16 конкурс признан несостоявшимся в связи с отсутствием заявок, 10.05.2016 повторное размещение с изменением технического задания, подведение итогов и заключение договора - июнь 2016.</t>
  </si>
  <si>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округе-Югре в 2016-2020 годах"</t>
  </si>
  <si>
    <t>Обеспечение продовольственной безопасности</t>
  </si>
  <si>
    <t xml:space="preserve">Выполнены и оплачены инженерно-геологические изыскания по заключенному договору с ООО "Гео-Строй"  № 414/16 от 03.02.2016 на сумму 32,16 тыс.руб. Извещение о проведении закупочных процедур по выбору подрядных организаций на выполнение  СМР опубликовано на сайте 22.04.2016. Закупочной комиссией от 16.05.2016 подведены итоги закупки и определён победитель - ООО "Сибстройтеплоремонт". На согласовании договор подотряда как крупная сделка, заключение  договора - июнь, оплата по договору - 4 квартал 2016. </t>
  </si>
  <si>
    <t xml:space="preserve">ООО "ЭнергоРемНаладка" по заключенному договору № 5-16 от 12.02.2016 разработана проектная документация на сумму 99,30 тыс.руб. Извещение о проведении закупочных процедур на право заключения договора на поставку материалов и оборудования опубликовано на сайте 29.04.2016. Подведение итогов состоялось 30.05.2016, по условиям процедуры закупки протокол закупочной комиссии оформляется в трехдневный срок,  заключение  договора - июнь; СМР собственными силами предприятия. </t>
  </si>
  <si>
    <t>КУИ подготовлена конкурсная документация для электронного аукциона и 29.04.2016 размещена на сайте гос.закупок. Протоколом рассмотрения заявок от 13.05.16 аукцион признан несостоявшимся (не подано ни одной заявки). В план-график размещения закупок внесены изменения, повторное размещение заявки - июнь, заключение  муниципального контракта - июль, оплата по контракту -  4 квартал 2016.</t>
  </si>
  <si>
    <t>ДО- В соответствии с письмом КУ ХМАО-Югры "Сургутский центр занятости населения" на реализацию мероприятия выделены средства в сумме 488,35 тыс. руб.  на 4 образовательных учреждения.
 КУ ХМАО-Югры "Сургутский центр занятости населения" проводит работу по поиску кандидатов.</t>
  </si>
  <si>
    <t>Средства поступили в бюджет города в соответствии со справками Департамента финансов ХМАО-Югры  от 20.05.2016  № 230/05/16 на основании приказа Департамента образования и молодежной политики ХМАО-Югры от 18.05.2016 № 784 "Об итогах конкурса по вопросам развития казачьих кадетских классов с казачьим компонентом на базе мунциипальных общеобразовательных организаций в ХМАО-Югре".
1100 тыс. руб. - договоры будут заключены и оплачены в плановом порядке в 3, 4 кварталах 2016 года.</t>
  </si>
  <si>
    <t>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- 95 734,0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- 4 160,0 тыс, руб. - средства на администрирование госполномочия. 
Освоено:
- 55 085,72 тыс. руб. на выплату компенсации части родительской платы за присмотр и уход за детьми в образовательных организациях;
- 2 888,14 тыс. руб. на администрирование госполномочия. 
Неизрасходовано:
- 22 721,8 тыс. руб. - экономия, сложившаяся в связи:
1.  со снижением фактических затрат по компенсации части родительской платы по причине уменьшения планируемого размера начисленной родительской платы вследствие уменьшения фактического количества дней посещения детьми образовательных учреждений (отсутствие по причине болезни, закрытие дошкольных групп на карантин);
2.  со снижением среднего размера родительской платы за присмотр и уход на одного ребёнка в месяц в связи с увеличением численности детей, родительская плата за присмотр и уход за которыми взимается в размере 50% (увеличение численности детей льготных категорий).
- 323,64 тыс. руб. - срок выплаты заработной платы и начислений на выплаты по оплате труда до 15 числа месяца, следующего за расчетным.
 В Департамент образования и молодежной политики ХМАО-Югры направлена заявка на уменьшение объема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на 2016 год в сумме 40 113 тыс. руб. в соответствии с приказом Департамента образования и молодежной политики ХМАО-Югры от 21.03.2016 № 379 «Об утверждении организационного плана работы по по корректировке объема субвенций и субсидий в 2016 году».</t>
  </si>
  <si>
    <t>2) 42 066,42 тыс. руб. - организация питания детей в оздоровительных лагерях с дневным пребыванием на базе образовательных учреждений (26 298,64 тыс. руб. за счет средств окружного бюджета, 15 767,78 тыс. руб. - за счет средств местного бюджета):
- 25 417,20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- 10 530,80 тыс. руб. - остаток средств субсидии от доведенного объема подлежит перераспределению на субвенцию на организацию и обеспечение отдыха и оздоровления детей в связи с внесением изменений в закон ХМАО-Югры от 16.11.2015 № 118-оз "О бюджете ХМАО-Югры на 2016 год"; 
 - 3 569,46 тыс. руб. - освоено;
- 2 548,96 тыс. руб. - договоры будут заключены в следующие отчетные периоды.</t>
  </si>
  <si>
    <t>Поддержка мер по обеспечению сбалансированности местных бюджетов и компенсация дополнительных расходов, возникших в результате решений, принятых органами власти другого уровня (ДО, ДКМПиС)</t>
  </si>
  <si>
    <t>План на 2016 год:
- 36 397,64 тыс. руб. - заработная плата;
- 11 853,2 тыс. руб. - начисления на выплаты по оплате труда.
По состоянию на 31.05.2016 кассовые расходы учреждений, подведомственных департаменту культуры, молодёжной политики и спорта составляют 20 261,6 тыс. руб.
ДО- Отклонение уточненного плана от утвержденного обусловлено поступлением средств из бюджета Ханты-Мансийского автономного округа – Югры на основании справок Департамента финансов Ханты-Мансийского автономного округа – Югры от 27.04.2016  № 500/13/03 «Об изменении показателей сводной бюджетной росписи», «Об изменении лимитов бюджетных обязательств на 2016 год» 
Средства будут израсходованы на повышение оплаты труда работников муниципальных учреждений дополнительного образования детей в целях реализации указов Президента Российской Федерации от 07.05.2012 № 597 "О мероприятиях по реализации государственной социальной политики", 01.06.2012 № 761 "О национальной стратегии действий в интересах детей на 2012-2017 годы".</t>
  </si>
  <si>
    <t>Заключено соглашение от 24.02.2016 № 2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
Дополнительное соглашение (рег. № 17-03-470/16 в настоящее время проходит процедуру согласования)</t>
  </si>
  <si>
    <t>Денежные средства будут освоены в течении 2016 года</t>
  </si>
  <si>
    <t>Отклонение уточненного плана от утвержденного в сумме 3 123,90 тыс.руб., на основании справок Департамента финансов ХМАО-Югры от 20.05.2016 и 25.05.2016.</t>
  </si>
  <si>
    <t>12.3.2.</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</si>
  <si>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 (ДГХ)</t>
  </si>
  <si>
    <t>Отклонение уточненного плана от утвержденного в сумме 20 487,70 тыс.руб.,                        на основании справок Департамента финансов ХМАО-Югры от 20.05.2016 и 25.05.2016.</t>
  </si>
  <si>
    <t xml:space="preserve">                                                                                                                                                                                      </t>
  </si>
  <si>
    <t>20.02.2016 было подписано постановление № 1253 Администрации города "Об утверждении перечня получателей субсидий и объема предоставляемых субсидий на поддержку сельскохозяйственного производства". Заключено дополнительное соглашение с ООО "Сургутский рыбхоз" на 2016 год. За декабрь 2015 года и январь, февраль, март, апрель 2016 года заявлений от ООО "Сургутский рыбхоз" о предоставлении субсидий за вышеуказанные периоды не поступало.                                                      14.01.2016 поступило заявление от ИП Патрушев Н.А. об исключении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</si>
  <si>
    <t>Проведение основных окружных смотров-конкурсов (приобретение, спортивного оборудования,спортивного инвенторяи экипировки)</t>
  </si>
  <si>
    <t>6.1.2.</t>
  </si>
  <si>
    <r>
      <t xml:space="preserve">Финансовые затраты на реализацию программы в </t>
    </r>
    <r>
      <rPr>
        <u/>
        <sz val="18"/>
        <color theme="1"/>
        <rFont val="Times New Roman"/>
        <family val="2"/>
        <charset val="204"/>
      </rPr>
      <t>2016</t>
    </r>
    <r>
      <rPr>
        <sz val="18"/>
        <color theme="1"/>
        <rFont val="Times New Roman"/>
        <family val="2"/>
        <charset val="204"/>
      </rPr>
      <t xml:space="preserve"> году  </t>
    </r>
  </si>
  <si>
    <t xml:space="preserve">План на 2016 год:
- 2 177 602,96 тыс. руб. - заработная плата;
- 657 636,09 тыс. руб. - начисления на выплаты по оплате труда;
- 194 153,05 тыс. руб - приобретение учебных пособий, игрового оборудования, уличного игрового оборудования.
Неизрасходованный остаток профинансированных средств 8 653,60 тыс. руб. - срок выплаты заработной платы и начислений на выплаты по оплате труда до 15 числа месяца, следующего за расчетным.      
</t>
  </si>
  <si>
    <t>По состоянию на 01.06.2016 произведена выплата вознаграждения приемным родителям за январь-апрель 2016 года; оплата расходов на выполнение работ по проверке смет на ремонт жилых помещений для детей сирот и детей, оставшихся без попечения родителей по адресам: пр.Комсомольский,44/2 кв.59, ул.Университетская д.25/1 кв.3.
Ежемесячная выплата вознаграждения приемным родителям производится планомерно в течение всего финансового года.  
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Для ремонта переданы 2 квартиры:
1) пр.Комсомольский 44/2 кв.59:  05.05.16 размещен заказ на сумму 284,02 тыс.руб., аукцион 30.05.15, срок исполнения контракта-сентябрь 2016.
2) ул. Университетская 25/1 кв.3: дефектная ведомость согласована в комитете по опеке и попечительству, локально-сметные расчеты проверены в Стройцене, готовится техническое задание, размещение заказа на сумму 426, 05 тыс.руб. - июнь 2016, срок исполнения контракта - сентябрь 2016. 
3 квартиры (отсутствует перечень) на сумму 2 227,84 тыс.руб.: размещение заказа - август 2016, срок исполнения контракта - декабрь 2016.  
Заключены и исполнены договор:
-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
- от 11.04 2016 № 84  с ООО "ИЦ Сургутстройцена" на выполнение работ по проверке сметы на ремонт жилого помещения ул.Университетская д.25/1 кв.3 (для детей сирот и детей, оставшихся без попечения родителей) с 11.04.16-20.04.16, на сумму 4,57 тыс.руб.
22,98 тыс.руб. - средства предусмотренные на проверку смет.</t>
  </si>
  <si>
    <t>ДКМПиС:  План  -  7 131,32 тыс. руб.
Осуществляется подготовка конкурсной документации на оказание услуг по организации питания детей в оздоровительных лагерях с дневным пребыванием на базе учреждений, подведомственных департаменту культуры, молодёжной политики и спорта.</t>
  </si>
  <si>
    <r>
      <t xml:space="preserve">бюджет ХМАО - Югры </t>
    </r>
    <r>
      <rPr>
        <b/>
        <sz val="18"/>
        <color theme="1"/>
        <rFont val="Times New Roman"/>
        <family val="2"/>
        <charset val="204"/>
      </rPr>
      <t>доп.фк 2106</t>
    </r>
  </si>
  <si>
    <r>
      <t xml:space="preserve">Заключено 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color theme="1"/>
        <rFont val="Times New Roman"/>
        <family val="2"/>
        <charset val="204"/>
      </rPr>
      <t>(действует до 31.12.2020 года)</t>
    </r>
  </si>
  <si>
    <r>
      <t xml:space="preserve">Подпрограмма "Поддержка малых форм хозяйствования"                                                                                                </t>
    </r>
    <r>
      <rPr>
        <sz val="18"/>
        <color theme="1"/>
        <rFont val="Times New Roman"/>
        <family val="2"/>
        <charset val="204"/>
      </rPr>
      <t>Поддержка малых форм хозяйствования (КУИ)</t>
    </r>
  </si>
  <si>
    <r>
      <t xml:space="preserve">Подпрограмма "Повышение эффективности использования и развития ресурсного потенциала рыбохозяйственного комплекса"                                                              </t>
    </r>
    <r>
      <rPr>
        <sz val="18"/>
        <color theme="1"/>
        <rFont val="Times New Roman"/>
        <family val="2"/>
        <charset val="204"/>
      </rPr>
      <t>Государственная поддержка рыбохозяйственного комплекса (КУИ)</t>
    </r>
  </si>
  <si>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color theme="1"/>
        <rFont val="Times New Roman"/>
        <family val="2"/>
        <charset val="204"/>
      </rPr>
      <t>Обеспечение осуществления отлова, транспортировки, учета, содержания, умерщвления, утилизации безнадзорных и бродячих животных (ДГХ)</t>
    </r>
  </si>
  <si>
    <t>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
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</si>
  <si>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Кассовый план 5 мес. - 17 246,59 тыс.руб. По состоянию на 01.06.2016 произведена выплата заработной платы за январь-апрель и первую половину мая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Зарегистрированы бюджетные обязательства на сумму 1 297,24 тыс.руб.
Всего произведено финансирование на сумму 977,34 тыс.руб., в том числе:  
649,53 тыс.руб. - оплачены коммунальные услуги за январь-апрель 2016.
327,81 тыс.руб. - оплачены расходы по содержанию объектов соц.сферы за январь-апрель 2016.
1 997,69 тыс.руб. - планируется заключение договоров.</t>
  </si>
  <si>
    <t xml:space="preserve">МКУ "ДЭАЗиИС" - 28 074,28 тыс.руб.:
Зарегистрированы бюджетные обязательства на сумму 28 074,28 тыс.руб.: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тыс.руб. Работы оплачены на сумму 4 530,366 тыс.руб.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тыс.руб. Работы оплачены на сумму             5 000,0 тыс.руб.
</t>
  </si>
  <si>
    <t>26.1.</t>
  </si>
  <si>
    <t>ДО - 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заключены договоры на оказание услуги по обеспечению предоставления завтраков и обедов в учебное время обучающимся негосударственных учреждений;
- 8 432,4 тыс.руб.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25 077,57 руб. от профинансированного объема в связи с уменьшением фактического количества дней посещения детьми общеобразовательных учреждений в связи с болезнями детей, актированными днями, приостановлением учебного процесса в общеобразовательных организациях с целью предупреждения эпидемического распространения гриппа и ОРВИ. Средства будут освоены в 2016 году в соответствии с целевым назначением.
ДГХ- Зарегистрированы бюджетные обязательства на сумму 5 113,76 тыс. руб.
Оплачены коммунальные услуги за январь-март 2016 в сумме 3 645,96 тыс. руб.</t>
  </si>
  <si>
    <t>ДО-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  
ДГХ- Денежные средства будут освоены в течении 2016 года</t>
  </si>
  <si>
    <t>В постановлении от 20.02.2016 № 1253 "Об утверждении перечня получателей субсидий и объема предоставляемых субсидий на поддержку сельскохозяйственного производства" 500,0 тыс. рублей на развитие материально-технической базы зарезервированы до определения получателей субсидий. Письмами от 02.12.2015 № 30-01-08-495/15-0-0,  от 22.12.2015 № 30-01-08-495/15-1-0, от 17.03.2016 № 30-01-08-755/16-0-0 комитетом по управлению имуществом в Департамент природных ресурсов и несырьевого сектора экономики ХМАО-Югры были направлены просьбы о перераспределении денежных средств по мероприятиям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комитета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 Ответы в адрес комитета не поступали.</t>
  </si>
  <si>
    <t>По состоянию на 01.06.2016 участниками данной подпрограммы числятся 65 молодых семей.  Соглашение  о финансировании подпрограммы в 2016 году находится на подписи в Департаменте строительстве ХМАо-Югры. Согласно справок - уведомления Департамента финансов ХМАО - Югры от 25.05.2016 № 500/05/127 уменьшены лимиты окружных средств на 2 035 101,52 рубля, от 25.05.2016 № 500/05/148  лимиты федеральных средств на 34,04 рубля. В бюджете города имеются средства федерального и окружного бюджета на исполнение переходящих обязательств в отношении участника подпрограммы 2015 года, расход средств будет произведен при наличии заявки из банка .</t>
  </si>
  <si>
    <t>В списке граждан, имеющих право на получение субсидии за счет средств федерального бюджета по городу Сургуту на 01.01.2016 состоит 512 человек.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Приказов Департамента строительства ХМАО -Югры от 06.04.2016 № 199-П, от 19.04.2016 № 238-П, от 19.04.2016 № 278-П утвержден Сводный список граждан - получателей субсидии из федерального бюджета в 2016 году по Ханты - Мансийскому автономному округу - Югре.  В данный список включены 22 льготополучателя от города Сургута (согласно дате принятия на учет в качестве нуждающихся в улучшении жилищных условий). Согласно уточненного плана планируется в 2016 году предоставить субсидию 12 льготополучателям, из расчета размера субсидии 759 672 рубля.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01.06.2016 на выплату льготополучателям субсидии в бюджете города имеются средства федерального бюджета в сумме 9 116,06 тыс.руб. Средства федерального бюджета до конца года планируется освоить в полном объёме.</t>
  </si>
  <si>
    <t>Средства предусмотрены на выплату субсидии и приобретение жилого помещения для участников программы. Субсидии выплачиваются по мере подготовки Управлением учета и распределения жилья Постановлений о предоставлении субсидии на приобретение жилого помещения.                                                                                         Приобретено жилое помещение (1 комн.кв, 43,3 кв.м, 1827,4332 тыс.руб) согласно заключеннного МК с ООО "Управляющая компания "Центр Менеджмент" №4/2016 от 23.03.2016г. Оплата за приобретенное жилое помещение произведена в полном объеме. Изменение объема субвенций произведено на основании справок ДФ ХМАО-Югры №500/03/45, 500/03/50 от 24.03.2016 г "Об изменении лимитов бюджетных обязательств на 2016 год".</t>
  </si>
  <si>
    <t>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 ДГХ: 9 733,2 тыс.руб.:  Предоставление субсидии носит заявительный характер. 28.03.2016 в ДГХ поступила заявка на получение субсидии от АО "Сжиженный газ Север".  Распоряжением АГ от 28.04.2016 № 671 утвержден перечень получателей субсидии и объем предоставляемой субсидии. 
Зарегистрированы бюджетные обязательства на сумму 9 752,85 тыс.руб., в том числе:
- соглашение от 11.05.2016 № 21 с АО "Сжиженный газ "Север"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с 01.01.2016 по 31.12.2016, на сумму 9 640,42 тыс.руб.;
- соглашение от 15.10.2015 № 31/кз с   АО "Сжиженный газ "Север" на сумму 112,43 тыс.руб. (кредиторская задолженность 2015).
20,35 тыс.руб. - нераспределённый объем субсидии до определения получателей субсидии.
Расходы запланированы на 2-4 кварталы 2016.
УБУиО - 2,6 тыс.руб.: Расходы для осуществления переданного государственного полномочия. Расходы запланированы на декабрь 2016.</t>
  </si>
  <si>
    <t xml:space="preserve">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01.06.2016 произведена оплата  в размере - 6503,71 тыс. руб. из них 486,85 тыс.руб за счет софинансирования;
 - 2 155,37 тыс. руб. - запланировано заключение контракта (1889,52 тыс. руб. -бюджет МО; 265,85 тыс. руб. - бюджет ХМАО). Ориетировочные сроки: проведение аукциона аукцион - июнь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тыс.руб. - заключен договор  № ТО-05-16 от 11.01.2016. Срок оказания услуг - 1 квартал 2016 года. Оплата произведена в апреле 2016 г;
-99,0 тыс. руб. - заключен договор № ТО-06-16 от 01.04.2016. Срок оказания услуг - 2 квартал 2016 года.
- 680,5 тыс.руб. - в июне 2016 г. планируется заключение муниципального контракта  (502 тыс.руб. - бюджет ХМАО; 178,5 тыс.руб.- бюджет МО); 
3) Услуги по приему, обработке и доставке заказных писем с уведомлением  
 - заключён контракт № 6-16-МК от 01.02.2016 на 1 734,15 тыс. руб.
На 01.06.2016 обработано и доставлено 15 163 заказных писем на сумму 402,25 тыс. руб. Оплату произведена.
4) Подготовлена аукционная документация (слуги по приему, обработке и доставке заказных писем с уведомлением ) на сумму 614,4 тыс. руб, ориентировочное ссроки проведения аукциона-июль 2016 года, заключения контрокта август 2016 года. </t>
  </si>
  <si>
    <t xml:space="preserve">Работы выполняются в соответствии с заключенным муниципальным контрактом №31/2015 от 14.09.2015г. с АО «АВТОДОРСТРОЙ»    (протокол №ОК1055(2) от 28.08.2015г), сумма 586 738,64056   тыс. руб.                                                                                                     Готовность объекта - 42,1 %. В мае подрядчиком работы были выполнены с отставанием от графика производства работ в связи с уведомлением АО "Автодорстрой" от 20.04.2016г о закрытии доступа УМВД по г.Сургуту на строящийся объект. С 23 мая доступ на объект открыт. Работы на объекте ведутся в присутствии сотрудников полиции.                                                                                                                 Ориентировочный ввод объекта в эксплуатацию планируется в декабре 2016 года.                       </t>
  </si>
  <si>
    <t>Работы выполняются в соответствии с заключенным муниципальным контрактом с ООО "Сибвитосервис" №18/2014 от 04.10.14 г.  
Сумма по контракту - 323 245,56 тыс. руб., сумма на 2016 год - 117927,89 тыс.руб.  
Срок выполнения работ - 15.06.2016 г.Готовность объекта - 85 %.                                                                                                                                       Заключены 15 муниципальных контрактов для комплектации и ввода в эксплуатацию объекта(поставка бытовой техники, мебели,  сейфа,электроники,звукового оборудования,металлической мебели, компьютеров и оргтехники, демонстрационного оборудования,аудиторной доски,  хозяйственных изделий,  технологического оборудования,  инвентаря,мебели, технологического оборудования) на сумму 37 226,49 тыс.руб.;
Извещение о проведении 1-го аукциона (поставка технологического оборудования) на сумму 394,48 тыс. руб. будет опубликовано повторно в июне, в связи с те, что не было подано ни одной заявки.
Работы в мае 2016 года приняты на сумму 8280,46 тыс.руб., из них за счет средства бюджета автономного округа в размере 7866,44 тыс.руб. будут оплачены в июне 2016 года.                                                                                                      Ориентировочная дата ввода объекта в эксплуатацию - июль 2016 года. 
Остаток средств -экономия от проведенных торгов будет предложен к снятию.</t>
  </si>
  <si>
    <t>Получено положительное заключение по проверке достоверности определения сметной стоимости объекта №86-1-6-0010-16 от 16.02.2016г.                                                                                                                                                                                                   Средств для проведения конкурса на завершение строительства объекта недостаточно. Обращение в Департамент физической культуры и спорта ХМАО-Югры направлено 17.03.2016 года. Получен ответ  №19-исх-1575 от 20.04.2016 о возможности выделения дополнительных средств только в случае перераспределения либо дополнительного выделения средств на реализацию госпрограммы.  Извещение о проведении конкурса с ограниченным участием на выполнение работ по завершению строительства объекта будет размещено в случае дополнительного выделения средств. НМЦК на выполнение работ по завершению строительства объекта - 420949,69 тыс. руб.                                                                                                                                              Готовность объекта - 57%. 
Ориентировочная дата ввода объекта в эксплуатацию -  декабрь 2016 года.</t>
  </si>
  <si>
    <t xml:space="preserve">Кассовый план 3 кв. - 652,500  тыс. руб. из них:
Приобретение спортивного оборудования, спортивного инвентаря и экипировки на сумму 652,5 тыс. руб. (МАУ ДО СДЮСШОР "Олимп", МБУ ЦФП "Надежда" ). Оплата услуг будет произведена по факту оказания услуг в соответствии с условиями заключаемых договоров в течение отчетного года. </t>
  </si>
  <si>
    <t>Поставка и оплата оборудования в рамках заключенных в 2015 году контрактов на сумму - 81625,14 тыс руб.  с учетом монтажа, наладки и сборки - в период с марта по май. Из них МК № 62/2015 от 20.11.15 с ООО ПО "АлтайМеталл" расторгнут 23.05.16 г. (1827,08 тыс.руб.) Аукцион на поставку металлической мебели будет размещен повторно.В связи с принятым  Решением об одностороннем отказе (№43-02-739/16 от 23.03.2016 г.) заказчика от исполнения контракта (МК № 34/2015 г. от 12.10.15) ориентировочный срок размещения извещения о проведении аукциона на поставку рентгенологического оборудования на сумму 64 228,0 тыс. руб. - июнь 2016 г. Заключены 7 муниципальных контрактов для комплектации и ввода в эксплуатацию объекта (поставка медицинского оборудования, поставка столика стеклянного,поставка оргтехники, поставка медицинских приборов,поставка одеяла лечебного, поставка средств индивидуальной защиты) на сумму 8533,48 тыс.руб. Всего остаток средств 2016 года за счет окружного бюджета составил 7 652,07 тыс.руб., из них 73,13 тыс.руб. экономия по итогам проведенных закупок в 2016 году, 7 576,3 тыс.руб. - средства, предусмотренные на закупки с целью приобретения и установку системы видеонаблюдения, жалюзи (будет осуществлять эксплуатирующая организация), 2,6 тыс.руб. - экономия от плана по итогам формирования НМЦК.  
В мае 2016 года принято оборудования  на сумму 26 545,46 тыс.руб.,  средства  бюджета автономного округа  будут оплачены в июне.                                                                                                    По результатам проверки Службой Жилстройнадзора Югры выдан акт и предписание об устранении нарушений при строительстве объекта. Объект не введен в эксплуатацию в установленный срок по причине того, что объект не укомплектован необходимым для ввода в эксплуатацию рентгенологическим оборудованием. Учитывая процедуру размещения муниципальных закупок ориентировочный срок заключения контракта 15.07.2016г. Срок поставки оборудования установлен – 29.07.2016г.  Исходя из вышеизложенного, ориентировочный срок ввода объекта в эксплуатацию – 05.08 2016г. Возможен ввод объекта в эксплуатацию до поставки вышеуказанного оборудования в случае выдачи досрочно заключения Службой жилищного и строительного надзора ХМАО-Югры</t>
  </si>
  <si>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перенесен на июль 2016 года, НМЦК-17834,61244 тыс.руб. Ориентировочный срок заключения контракта - сентябрь 2016 года, при условии, что конкурс состоится. Произведен аванс за технологическое присоединения объекта к электрическим сетям на сумму 51,8 тыс.руб.                                                                                                                         </t>
  </si>
  <si>
    <t>Аукционы по приобретению жилых помещений для участников программы несостоялись ввиду отсутсвия заявок. Повторное размещение заявок состоялось 29.04. 2016 года. Подведены итоги аукционов по приобретению: 24 кв.- 2-х комнатных (84753,74руб., 1611,1 м2); 42 кв. - 1 комнатных (95111,13 руб, 1807,8 м2). Акцион на приобретение 2-х комнатной квартиры, 50м2, не состоялся ввиду отсутствия заявок. Заявка на проведение аукциона будет размещена повторно.</t>
  </si>
  <si>
    <t>Оплата субсидий участникам программы будет производится по мере подготовки департаментом городского хозяйства Постановлений о предоставлении субсидий на приобретение жилого помещения в собственность.                                                                                                             Аукцион по приобретению жилого помещения для участника программы состоялся 13.05.2016 года.(1 комн.кв, 43,1 м2, 2268,31 тыс.руб). Стадия заключения муниципального контракта.</t>
  </si>
  <si>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 тыс.руб, на 2015 год - 82829,0 тыс.руб. Срок выполнения работ - 30 сентября 2016 года.  Готовность объекта 34,4 %. Работы в мае 2016 года приняты на сумму 14312,72 тыс.руб., из них за счет средства бюджета автономного округа в размере 11450,17 тыс.руб. будут оплачены в июне. Работы выполняются с отставанием от графика производства работ т.к. в апреле 2016 года были приостановлены в связи с тем, что на территории строительства организована несанкционированная стоянка. ООО "Тюменьэнерго" не предоставил своевременно земельный участок для выполнения работ по прокладке и выносу инженерных сетей. В настоящее время земельный участок предоставлен, работы возобновлены. Ориентировочная дата ввода объекта в эксплуатацию - октябрь 2016 года.</t>
  </si>
  <si>
    <t xml:space="preserve">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 тыс.р., и контракт №2/2016 на сумму 791 876, 98560 тыс.р., сроком действия до 30.03.2017г. По условиям контрактов произведен авансовый платеж в размере 78% стоимости контрактов.                              </t>
  </si>
  <si>
    <t>Заключены муниципальные контракты и договоры на  приобретение конвертов и бумаги.Исполнение будет осуществлено после поступления денежных средств из бюджета автономного округа.</t>
  </si>
  <si>
    <t xml:space="preserve">бюджет ХМАО - Югры </t>
  </si>
  <si>
    <r>
      <t>бюджет ХМАО - Югры</t>
    </r>
    <r>
      <rPr>
        <b/>
        <sz val="18"/>
        <color theme="1"/>
        <rFont val="Times New Roman"/>
        <family val="2"/>
        <charset val="204"/>
      </rPr>
      <t xml:space="preserve"> </t>
    </r>
  </si>
  <si>
    <t>Информация о реализации государственных программ Ханты-Мансийского автономного округа – Югры в городе Сургуте по состоянию на 01.06.2016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</si>
</sst>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5" formatCode="#,##0.0"/>
    <numFmt numFmtId="166" formatCode="0.0"/>
    <numFmt numFmtId="167" formatCode="&quot;$&quot;#,##0_);\(&quot;$&quot;#,##0\)"/>
    <numFmt numFmtId="168" formatCode="&quot;р.&quot;#,##0_);\(&quot;р.&quot;#,##0\)"/>
    <numFmt numFmtId="169" formatCode="0.0%"/>
  </numFmts>
  <fonts count="47"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b/>
      <sz val="18"/>
      <name val="Times New Roman"/>
      <family val="2"/>
      <charset val="204"/>
    </font>
    <font>
      <sz val="12"/>
      <color theme="1"/>
      <name val="Times New Roman"/>
      <family val="2"/>
      <charset val="204"/>
    </font>
    <font>
      <sz val="11"/>
      <color theme="1"/>
      <name val="Calibri"/>
      <family val="2"/>
      <charset val="204"/>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2"/>
      <charset val="204"/>
    </font>
    <font>
      <sz val="9"/>
      <color indexed="81"/>
      <name val="Tahoma"/>
      <family val="2"/>
      <charset val="204"/>
    </font>
    <font>
      <b/>
      <sz val="9"/>
      <color indexed="81"/>
      <name val="Tahoma"/>
      <family val="2"/>
      <charset val="204"/>
    </font>
    <font>
      <sz val="16"/>
      <color theme="1"/>
      <name val="Times New Roman"/>
      <family val="2"/>
      <charset val="204"/>
    </font>
    <font>
      <sz val="16"/>
      <name val="Times New Roman"/>
      <family val="2"/>
      <charset val="204"/>
    </font>
    <font>
      <sz val="18"/>
      <color theme="1"/>
      <name val="Times New Roman"/>
      <family val="2"/>
      <charset val="204"/>
    </font>
    <font>
      <sz val="18"/>
      <color indexed="81"/>
      <name val="Tahoma"/>
      <family val="2"/>
      <charset val="204"/>
    </font>
    <font>
      <sz val="16"/>
      <color indexed="81"/>
      <name val="Tahoma"/>
      <family val="2"/>
      <charset val="204"/>
    </font>
    <font>
      <sz val="20"/>
      <color indexed="81"/>
      <name val="Tahoma"/>
      <family val="2"/>
      <charset val="204"/>
    </font>
    <font>
      <sz val="24"/>
      <color indexed="81"/>
      <name val="Times New Roman"/>
      <family val="1"/>
      <charset val="204"/>
    </font>
    <font>
      <b/>
      <sz val="20"/>
      <color indexed="81"/>
      <name val="Tahoma"/>
      <family val="2"/>
      <charset val="204"/>
    </font>
    <font>
      <sz val="16"/>
      <color theme="0"/>
      <name val="Times New Roman"/>
      <family val="2"/>
      <charset val="204"/>
    </font>
    <font>
      <b/>
      <i/>
      <sz val="18"/>
      <color theme="0"/>
      <name val="Times New Roman"/>
      <family val="2"/>
      <charset val="204"/>
    </font>
    <font>
      <sz val="12"/>
      <color theme="0"/>
      <name val="Times New Roman"/>
      <family val="2"/>
      <charset val="204"/>
    </font>
    <font>
      <i/>
      <sz val="18"/>
      <color theme="1"/>
      <name val="Times New Roman"/>
      <family val="2"/>
      <charset val="204"/>
    </font>
    <font>
      <b/>
      <sz val="18"/>
      <color theme="1"/>
      <name val="Times New Roman"/>
      <family val="2"/>
      <charset val="204"/>
    </font>
    <font>
      <sz val="24"/>
      <color theme="1"/>
      <name val="Times New Roman"/>
      <family val="2"/>
      <charset val="204"/>
    </font>
    <font>
      <sz val="20"/>
      <color theme="1"/>
      <name val="Times New Roman"/>
      <family val="2"/>
      <charset val="204"/>
    </font>
    <font>
      <u/>
      <sz val="18"/>
      <color theme="1"/>
      <name val="Times New Roman"/>
      <family val="2"/>
      <charset val="204"/>
    </font>
    <font>
      <b/>
      <i/>
      <sz val="18"/>
      <color theme="1"/>
      <name val="Times New Roman"/>
      <family val="2"/>
      <charset val="204"/>
    </font>
    <font>
      <sz val="17.5"/>
      <color theme="1"/>
      <name val="Times New Roman"/>
      <family val="2"/>
      <charset val="204"/>
    </font>
    <font>
      <sz val="17"/>
      <color theme="1"/>
      <name val="Times New Roman"/>
      <family val="2"/>
      <charset val="204"/>
    </font>
    <font>
      <sz val="10"/>
      <color theme="1"/>
      <name val="Times New Roman"/>
      <family val="2"/>
      <charset val="204"/>
    </font>
    <font>
      <b/>
      <sz val="18"/>
      <color theme="9" tint="0.79998168889431442"/>
      <name val="Times New Roman"/>
      <family val="2"/>
      <charset val="204"/>
    </font>
    <font>
      <sz val="18"/>
      <color theme="9" tint="0.79998168889431442"/>
      <name val="Times New Roman"/>
      <family val="2"/>
      <charset val="204"/>
    </font>
    <font>
      <sz val="16"/>
      <color theme="1"/>
      <name val="Times New Roman"/>
      <family val="1"/>
      <charset val="204"/>
    </font>
  </fonts>
  <fills count="8">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ECFF"/>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6" fillId="0" borderId="0"/>
    <xf numFmtId="0" fontId="13" fillId="0" borderId="0"/>
    <xf numFmtId="0" fontId="6" fillId="0" borderId="0"/>
    <xf numFmtId="0" fontId="13" fillId="0" borderId="0"/>
    <xf numFmtId="0" fontId="3" fillId="0" borderId="0"/>
    <xf numFmtId="0" fontId="5" fillId="0" borderId="0"/>
    <xf numFmtId="0" fontId="3" fillId="0" borderId="0"/>
    <xf numFmtId="0" fontId="12" fillId="0" borderId="0"/>
    <xf numFmtId="0" fontId="5" fillId="0" borderId="0"/>
    <xf numFmtId="0" fontId="5" fillId="0" borderId="0"/>
    <xf numFmtId="0" fontId="5" fillId="0" borderId="0"/>
    <xf numFmtId="0" fontId="6" fillId="0" borderId="0"/>
    <xf numFmtId="0" fontId="13"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7">
    <xf numFmtId="0" fontId="0" fillId="0" borderId="0" xfId="0"/>
    <xf numFmtId="2" fontId="0" fillId="0" borderId="2" xfId="0" applyNumberFormat="1" applyBorder="1" applyAlignment="1">
      <alignment horizontal="center" vertical="center" wrapText="1"/>
    </xf>
    <xf numFmtId="0" fontId="0" fillId="0" borderId="0" xfId="0" applyAlignment="1">
      <alignment horizontal="left"/>
    </xf>
    <xf numFmtId="0" fontId="11" fillId="4" borderId="2" xfId="0" applyFont="1" applyFill="1" applyBorder="1" applyAlignment="1" applyProtection="1">
      <alignment horizontal="left" vertical="center" wrapText="1"/>
      <protection locked="0"/>
    </xf>
    <xf numFmtId="4" fontId="17" fillId="3" borderId="2" xfId="0" quotePrefix="1"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2" fontId="17" fillId="3" borderId="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0" fillId="0" borderId="0" xfId="0" applyAlignment="1">
      <alignment horizontal="right"/>
    </xf>
    <xf numFmtId="1" fontId="24" fillId="0" borderId="2" xfId="0" applyNumberFormat="1" applyFont="1" applyBorder="1" applyAlignment="1">
      <alignment horizontal="center" vertical="center" wrapText="1"/>
    </xf>
    <xf numFmtId="2" fontId="24" fillId="0" borderId="2" xfId="0" applyNumberFormat="1" applyFont="1" applyBorder="1" applyAlignment="1">
      <alignment horizontal="left" vertical="center" wrapText="1"/>
    </xf>
    <xf numFmtId="2" fontId="24" fillId="0" borderId="2" xfId="0" applyNumberFormat="1" applyFont="1" applyBorder="1" applyAlignment="1">
      <alignment horizontal="center" vertical="center" wrapText="1"/>
    </xf>
    <xf numFmtId="4" fontId="24" fillId="0" borderId="2" xfId="0" applyNumberFormat="1" applyFont="1" applyBorder="1" applyAlignment="1">
      <alignment horizontal="center" vertical="center" wrapText="1"/>
    </xf>
    <xf numFmtId="9" fontId="24" fillId="0" borderId="2" xfId="0" applyNumberFormat="1" applyFont="1" applyBorder="1" applyAlignment="1">
      <alignment horizontal="center" vertical="center" wrapText="1"/>
    </xf>
    <xf numFmtId="0" fontId="24" fillId="0" borderId="0" xfId="0" applyFont="1"/>
    <xf numFmtId="2" fontId="25"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16" fillId="0" borderId="2" xfId="0" applyFont="1" applyBorder="1" applyAlignment="1">
      <alignment horizontal="center" vertical="center" wrapText="1"/>
    </xf>
    <xf numFmtId="166" fontId="24" fillId="0" borderId="2" xfId="0" applyNumberFormat="1" applyFont="1" applyBorder="1" applyAlignment="1">
      <alignment horizontal="center" vertical="center" wrapText="1"/>
    </xf>
    <xf numFmtId="2" fontId="24" fillId="3" borderId="2" xfId="0" applyNumberFormat="1" applyFont="1" applyFill="1" applyBorder="1" applyAlignment="1">
      <alignment horizontal="center" vertical="center" wrapText="1"/>
    </xf>
    <xf numFmtId="2" fontId="24" fillId="0" borderId="2" xfId="0" applyNumberFormat="1" applyFont="1" applyBorder="1" applyAlignment="1">
      <alignment horizontal="center" vertical="center" wrapText="1"/>
    </xf>
    <xf numFmtId="0" fontId="0" fillId="3" borderId="0" xfId="0" applyFill="1"/>
    <xf numFmtId="2" fontId="0" fillId="3" borderId="2" xfId="0" applyNumberFormat="1" applyFill="1" applyBorder="1" applyAlignment="1">
      <alignment horizontal="center" vertical="center" wrapText="1"/>
    </xf>
    <xf numFmtId="2" fontId="24" fillId="0" borderId="2"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0" fontId="26" fillId="3" borderId="0" xfId="0" applyFont="1" applyFill="1" applyAlignment="1">
      <alignment wrapText="1"/>
    </xf>
    <xf numFmtId="9" fontId="19" fillId="3" borderId="2" xfId="0" applyNumberFormat="1" applyFont="1" applyFill="1" applyBorder="1" applyAlignment="1" applyProtection="1">
      <alignment horizontal="center" vertical="center" wrapText="1"/>
      <protection locked="0"/>
    </xf>
    <xf numFmtId="4" fontId="11" fillId="4" borderId="2" xfId="0" applyNumberFormat="1" applyFont="1" applyFill="1" applyBorder="1" applyAlignment="1" applyProtection="1">
      <alignment horizontal="center" vertical="center" wrapText="1"/>
      <protection locked="0"/>
    </xf>
    <xf numFmtId="9" fontId="11" fillId="4" borderId="2" xfId="0" applyNumberFormat="1"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0" fillId="4" borderId="8"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4" fontId="10" fillId="4" borderId="2" xfId="0" applyNumberFormat="1" applyFont="1" applyFill="1" applyBorder="1" applyAlignment="1" applyProtection="1">
      <alignment horizontal="center" vertical="center" wrapText="1"/>
      <protection locked="0"/>
    </xf>
    <xf numFmtId="9" fontId="10" fillId="4" borderId="2" xfId="0" applyNumberFormat="1" applyFont="1" applyFill="1" applyBorder="1" applyAlignment="1" applyProtection="1">
      <alignment horizontal="center" vertical="center" wrapText="1"/>
      <protection locked="0"/>
    </xf>
    <xf numFmtId="4" fontId="20" fillId="3" borderId="2" xfId="0" applyNumberFormat="1" applyFont="1" applyFill="1" applyBorder="1" applyAlignment="1" applyProtection="1">
      <alignment horizontal="center" vertical="center" wrapText="1"/>
      <protection locked="0"/>
    </xf>
    <xf numFmtId="9" fontId="20" fillId="3" borderId="2" xfId="0" applyNumberFormat="1" applyFont="1" applyFill="1" applyBorder="1" applyAlignment="1" applyProtection="1">
      <alignment horizontal="center" vertical="center" wrapText="1"/>
      <protection locked="0"/>
    </xf>
    <xf numFmtId="9" fontId="20" fillId="3" borderId="6" xfId="0" applyNumberFormat="1" applyFont="1" applyFill="1" applyBorder="1" applyAlignment="1" applyProtection="1">
      <alignment horizontal="center" vertical="center" wrapText="1"/>
      <protection locked="0"/>
    </xf>
    <xf numFmtId="2" fontId="20" fillId="3" borderId="2" xfId="0" applyNumberFormat="1" applyFont="1" applyFill="1" applyBorder="1" applyAlignment="1" applyProtection="1">
      <alignment horizontal="center" vertical="center" wrapText="1"/>
      <protection locked="0"/>
    </xf>
    <xf numFmtId="4" fontId="20" fillId="3" borderId="4" xfId="0" applyNumberFormat="1" applyFont="1" applyFill="1" applyBorder="1" applyAlignment="1" applyProtection="1">
      <alignment horizontal="center" vertical="center" wrapText="1"/>
      <protection locked="0"/>
    </xf>
    <xf numFmtId="9" fontId="19" fillId="3" borderId="6" xfId="0" applyNumberFormat="1" applyFont="1" applyFill="1" applyBorder="1" applyAlignment="1" applyProtection="1">
      <alignment horizontal="center" vertical="center" wrapText="1"/>
      <protection locked="0"/>
    </xf>
    <xf numFmtId="9" fontId="20" fillId="3" borderId="4" xfId="0" applyNumberFormat="1" applyFont="1" applyFill="1" applyBorder="1" applyAlignment="1" applyProtection="1">
      <alignment horizontal="center" vertical="center" wrapText="1"/>
      <protection locked="0"/>
    </xf>
    <xf numFmtId="9" fontId="20" fillId="3" borderId="10" xfId="0" applyNumberFormat="1" applyFont="1" applyFill="1" applyBorder="1" applyAlignment="1" applyProtection="1">
      <alignment horizontal="center" vertical="center" wrapText="1"/>
      <protection locked="0"/>
    </xf>
    <xf numFmtId="0" fontId="10" fillId="4" borderId="4" xfId="0" applyFont="1" applyFill="1" applyBorder="1" applyAlignment="1" applyProtection="1">
      <alignment horizontal="left" vertical="center" wrapText="1"/>
      <protection locked="0"/>
    </xf>
    <xf numFmtId="169" fontId="20" fillId="3" borderId="6" xfId="0" applyNumberFormat="1" applyFont="1" applyFill="1" applyBorder="1" applyAlignment="1" applyProtection="1">
      <alignment horizontal="center" vertical="center" wrapText="1"/>
      <protection locked="0"/>
    </xf>
    <xf numFmtId="169" fontId="20" fillId="3" borderId="2" xfId="0" applyNumberFormat="1" applyFont="1" applyFill="1" applyBorder="1" applyAlignment="1" applyProtection="1">
      <alignment horizontal="center" vertical="center" wrapText="1"/>
      <protection locked="0"/>
    </xf>
    <xf numFmtId="10" fontId="20" fillId="3" borderId="6" xfId="0" applyNumberFormat="1" applyFont="1" applyFill="1" applyBorder="1" applyAlignment="1" applyProtection="1">
      <alignment horizontal="center" vertical="center" wrapText="1"/>
      <protection locked="0"/>
    </xf>
    <xf numFmtId="9" fontId="32" fillId="3" borderId="10"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vertical="center" wrapText="1"/>
      <protection locked="0"/>
    </xf>
    <xf numFmtId="9" fontId="10" fillId="4" borderId="4" xfId="0" applyNumberFormat="1" applyFont="1" applyFill="1" applyBorder="1" applyAlignment="1" applyProtection="1">
      <alignment horizontal="center" vertical="center" wrapText="1"/>
      <protection locked="0"/>
    </xf>
    <xf numFmtId="9" fontId="10" fillId="4" borderId="10" xfId="0" applyNumberFormat="1" applyFont="1" applyFill="1" applyBorder="1" applyAlignment="1" applyProtection="1">
      <alignment horizontal="center" vertical="center" wrapText="1"/>
      <protection locked="0"/>
    </xf>
    <xf numFmtId="0" fontId="11" fillId="4" borderId="4" xfId="0" applyFont="1" applyFill="1" applyBorder="1" applyAlignment="1" applyProtection="1">
      <alignment vertical="center" wrapText="1"/>
      <protection locked="0"/>
    </xf>
    <xf numFmtId="9" fontId="33" fillId="3" borderId="6" xfId="0" applyNumberFormat="1" applyFont="1" applyFill="1" applyBorder="1" applyAlignment="1" applyProtection="1">
      <alignment horizontal="center" vertical="center" wrapText="1"/>
      <protection locked="0"/>
    </xf>
    <xf numFmtId="9" fontId="20" fillId="4" borderId="2" xfId="0" applyNumberFormat="1" applyFont="1" applyFill="1" applyBorder="1" applyAlignment="1" applyProtection="1">
      <alignment horizontal="center" vertical="center" wrapText="1"/>
      <protection locked="0"/>
    </xf>
    <xf numFmtId="9" fontId="21" fillId="3" borderId="6" xfId="0" applyNumberFormat="1" applyFont="1" applyFill="1" applyBorder="1" applyAlignment="1" applyProtection="1">
      <alignment horizontal="center" vertical="center" wrapText="1"/>
      <protection locked="0"/>
    </xf>
    <xf numFmtId="9" fontId="19" fillId="4" borderId="6" xfId="0" applyNumberFormat="1" applyFont="1" applyFill="1" applyBorder="1" applyAlignment="1" applyProtection="1">
      <alignment horizontal="center" vertical="center" wrapText="1"/>
      <protection locked="0"/>
    </xf>
    <xf numFmtId="4" fontId="11" fillId="4" borderId="4" xfId="0" applyNumberFormat="1" applyFont="1" applyFill="1" applyBorder="1" applyAlignment="1" applyProtection="1">
      <alignment horizontal="center" vertical="center" wrapText="1"/>
      <protection locked="0"/>
    </xf>
    <xf numFmtId="0" fontId="10" fillId="4" borderId="9" xfId="0" applyFont="1" applyFill="1" applyBorder="1" applyAlignment="1" applyProtection="1">
      <alignment horizontal="left" vertical="center" wrapText="1"/>
      <protection locked="0"/>
    </xf>
    <xf numFmtId="4" fontId="19" fillId="3" borderId="2" xfId="0" applyNumberFormat="1" applyFont="1" applyFill="1" applyBorder="1" applyAlignment="1" applyProtection="1">
      <alignment horizontal="center" vertical="center" wrapText="1"/>
      <protection locked="0"/>
    </xf>
    <xf numFmtId="4" fontId="20" fillId="4" borderId="2" xfId="0" applyNumberFormat="1" applyFont="1" applyFill="1" applyBorder="1" applyAlignment="1" applyProtection="1">
      <alignment horizontal="center" vertical="center" wrapText="1"/>
      <protection locked="0"/>
    </xf>
    <xf numFmtId="0" fontId="34" fillId="0" borderId="0" xfId="0" applyFont="1"/>
    <xf numFmtId="4" fontId="32" fillId="0" borderId="0" xfId="0" applyNumberFormat="1" applyFont="1"/>
    <xf numFmtId="0" fontId="32" fillId="0" borderId="0" xfId="0" applyFont="1"/>
    <xf numFmtId="4" fontId="34" fillId="0" borderId="0" xfId="0" applyNumberFormat="1" applyFont="1"/>
    <xf numFmtId="9" fontId="20" fillId="0" borderId="6" xfId="0" applyNumberFormat="1" applyFont="1" applyFill="1" applyBorder="1" applyAlignment="1" applyProtection="1">
      <alignment horizontal="center" vertical="center" wrapText="1"/>
      <protection locked="0"/>
    </xf>
    <xf numFmtId="0" fontId="35" fillId="3" borderId="5" xfId="0" applyFont="1" applyFill="1" applyBorder="1" applyAlignment="1" applyProtection="1">
      <alignment horizontal="center" vertical="center" wrapText="1"/>
      <protection locked="0"/>
    </xf>
    <xf numFmtId="0" fontId="35" fillId="3" borderId="5" xfId="0" applyFont="1" applyFill="1" applyBorder="1" applyAlignment="1" applyProtection="1">
      <alignment horizontal="left" vertical="center" wrapText="1"/>
      <protection locked="0"/>
    </xf>
    <xf numFmtId="0" fontId="35" fillId="3" borderId="2" xfId="0" applyFont="1" applyFill="1" applyBorder="1" applyAlignment="1" applyProtection="1">
      <alignment horizontal="left" vertical="center" wrapText="1"/>
      <protection locked="0"/>
    </xf>
    <xf numFmtId="4" fontId="35" fillId="3" borderId="2" xfId="0" applyNumberFormat="1" applyFont="1" applyFill="1" applyBorder="1" applyAlignment="1" applyProtection="1">
      <alignment horizontal="center" vertical="center" wrapText="1"/>
      <protection locked="0"/>
    </xf>
    <xf numFmtId="2" fontId="35" fillId="3" borderId="2" xfId="0" applyNumberFormat="1" applyFont="1" applyFill="1" applyBorder="1" applyAlignment="1" applyProtection="1">
      <alignment horizontal="center" vertical="center" wrapText="1"/>
      <protection locked="0"/>
    </xf>
    <xf numFmtId="9" fontId="35" fillId="3" borderId="2" xfId="0" applyNumberFormat="1" applyFont="1" applyFill="1" applyBorder="1" applyAlignment="1" applyProtection="1">
      <alignment horizontal="center" vertical="center" wrapText="1"/>
      <protection locked="0"/>
    </xf>
    <xf numFmtId="9" fontId="35" fillId="3" borderId="6" xfId="0" applyNumberFormat="1"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left" vertical="center" wrapText="1"/>
      <protection locked="0"/>
    </xf>
    <xf numFmtId="4" fontId="26" fillId="3" borderId="2" xfId="0" applyNumberFormat="1" applyFont="1" applyFill="1" applyBorder="1" applyAlignment="1" applyProtection="1">
      <alignment horizontal="center" vertical="center" wrapText="1"/>
      <protection locked="0"/>
    </xf>
    <xf numFmtId="9" fontId="26" fillId="3" borderId="2" xfId="0" applyNumberFormat="1" applyFont="1" applyFill="1" applyBorder="1" applyAlignment="1" applyProtection="1">
      <alignment horizontal="center" vertical="center" wrapText="1"/>
      <protection locked="0"/>
    </xf>
    <xf numFmtId="9" fontId="26" fillId="3" borderId="6" xfId="0" applyNumberFormat="1" applyFont="1" applyFill="1" applyBorder="1" applyAlignment="1" applyProtection="1">
      <alignment horizontal="center" vertical="center" wrapText="1"/>
      <protection locked="0"/>
    </xf>
    <xf numFmtId="4" fontId="36" fillId="3" borderId="2" xfId="0" applyNumberFormat="1"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4" fontId="26" fillId="3" borderId="4" xfId="0" applyNumberFormat="1" applyFont="1" applyFill="1" applyBorder="1" applyAlignment="1" applyProtection="1">
      <alignment horizontal="center" vertical="center" wrapText="1"/>
      <protection locked="0"/>
    </xf>
    <xf numFmtId="4" fontId="36" fillId="3" borderId="4" xfId="0" applyNumberFormat="1" applyFont="1" applyFill="1" applyBorder="1" applyAlignment="1" applyProtection="1">
      <alignment horizontal="center" vertical="center" wrapText="1"/>
      <protection locked="0"/>
    </xf>
    <xf numFmtId="9" fontId="26" fillId="3" borderId="4" xfId="0" applyNumberFormat="1" applyFont="1" applyFill="1" applyBorder="1" applyAlignment="1" applyProtection="1">
      <alignment horizontal="center" vertical="center" wrapText="1"/>
      <protection locked="0"/>
    </xf>
    <xf numFmtId="9" fontId="26" fillId="3" borderId="10" xfId="0" applyNumberFormat="1"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top" wrapText="1"/>
      <protection locked="0"/>
    </xf>
    <xf numFmtId="4" fontId="20" fillId="0" borderId="2" xfId="0" applyNumberFormat="1" applyFont="1" applyFill="1" applyBorder="1" applyAlignment="1" applyProtection="1">
      <alignment horizontal="center" vertical="center" wrapText="1"/>
      <protection locked="0"/>
    </xf>
    <xf numFmtId="4" fontId="33" fillId="3" borderId="2" xfId="0" applyNumberFormat="1" applyFont="1" applyFill="1" applyBorder="1" applyAlignment="1" applyProtection="1">
      <alignment horizontal="center" vertical="center" wrapText="1"/>
      <protection locked="0"/>
    </xf>
    <xf numFmtId="10" fontId="26" fillId="3" borderId="6" xfId="0" applyNumberFormat="1" applyFont="1" applyFill="1" applyBorder="1" applyAlignment="1" applyProtection="1">
      <alignment horizontal="center" vertical="center" wrapText="1"/>
      <protection locked="0"/>
    </xf>
    <xf numFmtId="0" fontId="26" fillId="3" borderId="5" xfId="0" applyFont="1" applyFill="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0" fontId="11" fillId="4" borderId="5"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26" fillId="0" borderId="0" xfId="0" applyFont="1" applyFill="1" applyBorder="1" applyAlignment="1">
      <alignment horizontal="center" wrapText="1"/>
    </xf>
    <xf numFmtId="0" fontId="26" fillId="0" borderId="0" xfId="0" applyFont="1" applyFill="1" applyBorder="1" applyAlignment="1">
      <alignment wrapText="1"/>
    </xf>
    <xf numFmtId="4" fontId="26" fillId="0" borderId="0" xfId="0" applyNumberFormat="1" applyFont="1" applyFill="1" applyBorder="1" applyAlignment="1">
      <alignment wrapText="1"/>
    </xf>
    <xf numFmtId="2" fontId="26" fillId="0" borderId="0" xfId="0" applyNumberFormat="1" applyFont="1" applyFill="1" applyBorder="1" applyAlignment="1">
      <alignment wrapText="1"/>
    </xf>
    <xf numFmtId="9" fontId="26" fillId="0" borderId="0" xfId="0" applyNumberFormat="1" applyFont="1" applyFill="1" applyBorder="1" applyAlignment="1">
      <alignment wrapText="1"/>
    </xf>
    <xf numFmtId="9" fontId="26" fillId="3" borderId="0" xfId="0" applyNumberFormat="1" applyFont="1" applyFill="1" applyBorder="1" applyAlignment="1">
      <alignment wrapText="1"/>
    </xf>
    <xf numFmtId="0" fontId="26" fillId="0" borderId="0" xfId="0" applyFont="1" applyFill="1" applyAlignment="1">
      <alignment wrapText="1"/>
    </xf>
    <xf numFmtId="0" fontId="26" fillId="0" borderId="0" xfId="0" applyFont="1" applyFill="1" applyBorder="1" applyAlignment="1" applyProtection="1">
      <alignment horizontal="center" vertical="center" wrapText="1"/>
      <protection locked="0"/>
    </xf>
    <xf numFmtId="4" fontId="26" fillId="0" borderId="0" xfId="0" applyNumberFormat="1" applyFont="1" applyFill="1" applyBorder="1" applyAlignment="1" applyProtection="1">
      <alignment horizontal="center" vertical="center" wrapText="1"/>
      <protection locked="0"/>
    </xf>
    <xf numFmtId="9" fontId="26" fillId="0" borderId="0" xfId="0" applyNumberFormat="1" applyFont="1" applyFill="1" applyBorder="1" applyAlignment="1" applyProtection="1">
      <alignment horizontal="right" vertical="center" wrapText="1"/>
      <protection locked="0"/>
    </xf>
    <xf numFmtId="1" fontId="26" fillId="3" borderId="0" xfId="0" applyNumberFormat="1" applyFont="1" applyFill="1" applyBorder="1" applyAlignment="1" applyProtection="1">
      <alignment horizontal="right" vertical="center" wrapText="1"/>
      <protection locked="0"/>
    </xf>
    <xf numFmtId="9" fontId="26" fillId="3" borderId="0" xfId="0" applyNumberFormat="1" applyFont="1" applyFill="1" applyBorder="1" applyAlignment="1" applyProtection="1">
      <alignment horizontal="right" vertical="center" wrapText="1"/>
      <protection locked="0"/>
    </xf>
    <xf numFmtId="4" fontId="38" fillId="3" borderId="0" xfId="0" applyNumberFormat="1" applyFont="1" applyFill="1" applyBorder="1" applyAlignment="1" applyProtection="1">
      <alignment horizontal="right" wrapText="1"/>
      <protection locked="0"/>
    </xf>
    <xf numFmtId="2" fontId="26" fillId="3" borderId="5" xfId="0" applyNumberFormat="1" applyFont="1" applyFill="1" applyBorder="1" applyAlignment="1" applyProtection="1">
      <alignment horizontal="center" vertical="center" wrapText="1"/>
      <protection locked="0"/>
    </xf>
    <xf numFmtId="0" fontId="26" fillId="3" borderId="0" xfId="0" applyFont="1" applyFill="1" applyAlignment="1">
      <alignment horizontal="left" vertical="top" wrapText="1"/>
    </xf>
    <xf numFmtId="2" fontId="26" fillId="3" borderId="3" xfId="0" applyNumberFormat="1" applyFont="1" applyFill="1" applyBorder="1" applyAlignment="1" applyProtection="1">
      <alignment horizontal="center" vertical="center" wrapText="1"/>
      <protection locked="0"/>
    </xf>
    <xf numFmtId="2" fontId="26" fillId="3" borderId="2" xfId="0" applyNumberFormat="1" applyFont="1" applyFill="1" applyBorder="1" applyAlignment="1" applyProtection="1">
      <alignment horizontal="center" vertical="top" wrapText="1"/>
      <protection locked="0"/>
    </xf>
    <xf numFmtId="9" fontId="26" fillId="3" borderId="2" xfId="0" applyNumberFormat="1" applyFont="1" applyFill="1" applyBorder="1" applyAlignment="1" applyProtection="1">
      <alignment horizontal="center" vertical="top" wrapText="1"/>
      <protection locked="0"/>
    </xf>
    <xf numFmtId="4" fontId="26" fillId="3" borderId="2" xfId="0" applyNumberFormat="1" applyFont="1" applyFill="1" applyBorder="1" applyAlignment="1" applyProtection="1">
      <alignment horizontal="center" vertical="top" wrapText="1"/>
      <protection locked="0"/>
    </xf>
    <xf numFmtId="9" fontId="26" fillId="3" borderId="6" xfId="0" applyNumberFormat="1" applyFont="1" applyFill="1" applyBorder="1" applyAlignment="1" applyProtection="1">
      <alignment horizontal="center" vertical="top" wrapText="1"/>
      <protection locked="0"/>
    </xf>
    <xf numFmtId="2" fontId="26" fillId="3" borderId="4" xfId="0" applyNumberFormat="1"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3" fontId="35" fillId="0" borderId="2" xfId="0" applyNumberFormat="1" applyFont="1" applyFill="1" applyBorder="1" applyAlignment="1" applyProtection="1">
      <alignment horizontal="center" vertical="center" wrapText="1"/>
      <protection locked="0"/>
    </xf>
    <xf numFmtId="3" fontId="35" fillId="0" borderId="6" xfId="0" applyNumberFormat="1" applyFont="1" applyFill="1" applyBorder="1" applyAlignment="1" applyProtection="1">
      <alignment horizontal="center" vertical="center" wrapText="1"/>
      <protection locked="0"/>
    </xf>
    <xf numFmtId="1" fontId="35" fillId="0" borderId="2" xfId="0" applyNumberFormat="1"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top" wrapText="1"/>
      <protection locked="0"/>
    </xf>
    <xf numFmtId="0" fontId="35" fillId="3" borderId="2" xfId="0" applyFont="1" applyFill="1" applyBorder="1" applyAlignment="1" applyProtection="1">
      <alignment horizontal="center" vertical="top" wrapText="1"/>
      <protection locked="0"/>
    </xf>
    <xf numFmtId="0" fontId="35" fillId="3" borderId="6" xfId="0" applyFont="1" applyFill="1" applyBorder="1" applyAlignment="1" applyProtection="1">
      <alignment horizontal="center" vertical="top" wrapText="1"/>
      <protection locked="0"/>
    </xf>
    <xf numFmtId="3" fontId="35" fillId="3" borderId="6" xfId="0" applyNumberFormat="1" applyFont="1" applyFill="1" applyBorder="1" applyAlignment="1" applyProtection="1">
      <alignment horizontal="center" vertical="center" wrapText="1"/>
      <protection locked="0"/>
    </xf>
    <xf numFmtId="0" fontId="35" fillId="0" borderId="0" xfId="0" applyFont="1" applyFill="1" applyAlignment="1">
      <alignment horizontal="left" vertical="top" wrapText="1"/>
    </xf>
    <xf numFmtId="0" fontId="36" fillId="3" borderId="2" xfId="0" applyFont="1" applyFill="1" applyBorder="1" applyAlignment="1" applyProtection="1">
      <alignment horizontal="left" vertical="center" wrapText="1"/>
      <protection locked="0"/>
    </xf>
    <xf numFmtId="9" fontId="36" fillId="3" borderId="2" xfId="0" applyNumberFormat="1" applyFont="1" applyFill="1" applyBorder="1" applyAlignment="1" applyProtection="1">
      <alignment horizontal="center" vertical="center" wrapText="1"/>
      <protection locked="0"/>
    </xf>
    <xf numFmtId="9" fontId="36" fillId="3" borderId="6" xfId="0" applyNumberFormat="1" applyFont="1" applyFill="1" applyBorder="1" applyAlignment="1" applyProtection="1">
      <alignment horizontal="center" vertical="center" wrapText="1"/>
      <protection locked="0"/>
    </xf>
    <xf numFmtId="9" fontId="36" fillId="3" borderId="13" xfId="0" applyNumberFormat="1" applyFont="1" applyFill="1" applyBorder="1" applyAlignment="1" applyProtection="1">
      <alignment horizontal="center" vertical="center" wrapText="1"/>
      <protection locked="0"/>
    </xf>
    <xf numFmtId="4" fontId="36" fillId="3" borderId="5" xfId="0" applyNumberFormat="1" applyFont="1" applyFill="1" applyBorder="1" applyAlignment="1" applyProtection="1">
      <alignment vertical="top" wrapText="1"/>
      <protection locked="0"/>
    </xf>
    <xf numFmtId="0" fontId="36" fillId="5" borderId="0" xfId="0" applyFont="1" applyFill="1" applyAlignment="1">
      <alignment horizontal="left" vertical="top" wrapText="1"/>
    </xf>
    <xf numFmtId="169" fontId="36" fillId="3" borderId="6" xfId="0" applyNumberFormat="1" applyFont="1" applyFill="1" applyBorder="1" applyAlignment="1" applyProtection="1">
      <alignment horizontal="center" vertical="center" wrapText="1"/>
      <protection locked="0"/>
    </xf>
    <xf numFmtId="9" fontId="36" fillId="3" borderId="14" xfId="0" applyNumberFormat="1" applyFont="1" applyFill="1" applyBorder="1" applyAlignment="1" applyProtection="1">
      <alignment horizontal="center" vertical="center" wrapText="1"/>
      <protection locked="0"/>
    </xf>
    <xf numFmtId="4" fontId="36" fillId="3" borderId="3" xfId="0" applyNumberFormat="1" applyFont="1" applyFill="1" applyBorder="1" applyAlignment="1" applyProtection="1">
      <alignment vertical="top" wrapText="1"/>
      <protection locked="0"/>
    </xf>
    <xf numFmtId="0" fontId="26" fillId="5" borderId="0" xfId="0" applyFont="1" applyFill="1" applyAlignment="1">
      <alignment horizontal="left" vertical="top" wrapText="1"/>
    </xf>
    <xf numFmtId="169" fontId="36" fillId="3" borderId="14" xfId="0" applyNumberFormat="1" applyFont="1" applyFill="1" applyBorder="1" applyAlignment="1" applyProtection="1">
      <alignment horizontal="center" vertical="center" wrapText="1"/>
      <protection locked="0"/>
    </xf>
    <xf numFmtId="10" fontId="36" fillId="3" borderId="6" xfId="0" applyNumberFormat="1" applyFont="1" applyFill="1" applyBorder="1" applyAlignment="1" applyProtection="1">
      <alignment horizontal="center" vertical="center" wrapText="1"/>
      <protection locked="0"/>
    </xf>
    <xf numFmtId="9" fontId="36" fillId="3" borderId="10" xfId="0" applyNumberFormat="1" applyFont="1" applyFill="1" applyBorder="1" applyAlignment="1" applyProtection="1">
      <alignment horizontal="center" vertical="center" wrapText="1"/>
      <protection locked="0"/>
    </xf>
    <xf numFmtId="4" fontId="36" fillId="3" borderId="4" xfId="0" applyNumberFormat="1" applyFont="1" applyFill="1" applyBorder="1" applyAlignment="1" applyProtection="1">
      <alignment vertical="top" wrapText="1"/>
      <protection locked="0"/>
    </xf>
    <xf numFmtId="0" fontId="36" fillId="4" borderId="5"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left" vertical="center" wrapText="1"/>
      <protection locked="0"/>
    </xf>
    <xf numFmtId="4" fontId="36" fillId="4" borderId="2" xfId="0" applyNumberFormat="1" applyFont="1" applyFill="1" applyBorder="1" applyAlignment="1" applyProtection="1">
      <alignment horizontal="center" vertical="center" wrapText="1"/>
      <protection locked="0"/>
    </xf>
    <xf numFmtId="9" fontId="36" fillId="4" borderId="2" xfId="0" applyNumberFormat="1" applyFont="1" applyFill="1" applyBorder="1" applyAlignment="1" applyProtection="1">
      <alignment horizontal="center" vertical="center" wrapText="1"/>
      <protection locked="0"/>
    </xf>
    <xf numFmtId="9" fontId="36" fillId="4" borderId="6" xfId="0" applyNumberFormat="1" applyFont="1" applyFill="1" applyBorder="1" applyAlignment="1" applyProtection="1">
      <alignment horizontal="center" vertical="center" wrapText="1"/>
      <protection locked="0"/>
    </xf>
    <xf numFmtId="0" fontId="36" fillId="3" borderId="0" xfId="0" applyFont="1" applyFill="1" applyAlignment="1">
      <alignment horizontal="left" vertical="top" wrapText="1"/>
    </xf>
    <xf numFmtId="0" fontId="36" fillId="4" borderId="3" xfId="0" applyFont="1" applyFill="1" applyBorder="1" applyAlignment="1" applyProtection="1">
      <alignment horizontal="center" vertical="center" wrapText="1"/>
      <protection locked="0"/>
    </xf>
    <xf numFmtId="0" fontId="26" fillId="4" borderId="8" xfId="0" applyFont="1" applyFill="1" applyBorder="1" applyAlignment="1" applyProtection="1">
      <alignment horizontal="left" vertical="center" wrapText="1"/>
      <protection locked="0"/>
    </xf>
    <xf numFmtId="0" fontId="26" fillId="4" borderId="2" xfId="0" applyFont="1" applyFill="1" applyBorder="1" applyAlignment="1" applyProtection="1">
      <alignment horizontal="left" vertical="center" wrapText="1"/>
      <protection locked="0"/>
    </xf>
    <xf numFmtId="4" fontId="26" fillId="4" borderId="2" xfId="0" applyNumberFormat="1" applyFont="1" applyFill="1" applyBorder="1" applyAlignment="1" applyProtection="1">
      <alignment horizontal="center" vertical="center" wrapText="1"/>
      <protection locked="0"/>
    </xf>
    <xf numFmtId="9" fontId="26" fillId="4" borderId="2" xfId="0" applyNumberFormat="1" applyFont="1" applyFill="1" applyBorder="1" applyAlignment="1" applyProtection="1">
      <alignment horizontal="center" vertical="center" wrapText="1"/>
      <protection locked="0"/>
    </xf>
    <xf numFmtId="9" fontId="26" fillId="4" borderId="6" xfId="0" applyNumberFormat="1" applyFont="1" applyFill="1" applyBorder="1" applyAlignment="1" applyProtection="1">
      <alignment horizontal="center" vertical="center" wrapText="1"/>
      <protection locked="0"/>
    </xf>
    <xf numFmtId="9" fontId="26" fillId="3" borderId="14" xfId="0" applyNumberFormat="1" applyFont="1" applyFill="1" applyBorder="1" applyAlignment="1" applyProtection="1">
      <alignment horizontal="center" vertical="center" wrapText="1"/>
      <protection locked="0"/>
    </xf>
    <xf numFmtId="0" fontId="26" fillId="2" borderId="0" xfId="0" applyFont="1" applyFill="1" applyAlignment="1">
      <alignment horizontal="left" vertical="top" wrapText="1"/>
    </xf>
    <xf numFmtId="0" fontId="36" fillId="4" borderId="4" xfId="0" applyFont="1" applyFill="1" applyBorder="1" applyAlignment="1" applyProtection="1">
      <alignment horizontal="center" vertical="center" wrapText="1"/>
      <protection locked="0"/>
    </xf>
    <xf numFmtId="0" fontId="40" fillId="3" borderId="5" xfId="0" applyFont="1" applyFill="1" applyBorder="1" applyAlignment="1" applyProtection="1">
      <alignment horizontal="center" vertical="center" wrapText="1"/>
      <protection locked="0"/>
    </xf>
    <xf numFmtId="0" fontId="40" fillId="3" borderId="2" xfId="0" quotePrefix="1" applyFont="1" applyFill="1" applyBorder="1" applyAlignment="1" applyProtection="1">
      <alignment horizontal="left" vertical="center" wrapText="1"/>
      <protection locked="0"/>
    </xf>
    <xf numFmtId="0" fontId="40" fillId="3" borderId="2" xfId="0" applyFont="1" applyFill="1" applyBorder="1" applyAlignment="1" applyProtection="1">
      <alignment horizontal="left" vertical="center" wrapText="1"/>
      <protection locked="0"/>
    </xf>
    <xf numFmtId="4" fontId="40" fillId="3" borderId="2" xfId="0" applyNumberFormat="1" applyFont="1" applyFill="1" applyBorder="1" applyAlignment="1" applyProtection="1">
      <alignment horizontal="center" vertical="center" wrapText="1"/>
      <protection locked="0"/>
    </xf>
    <xf numFmtId="9" fontId="40" fillId="3" borderId="2" xfId="0" applyNumberFormat="1" applyFont="1" applyFill="1" applyBorder="1" applyAlignment="1" applyProtection="1">
      <alignment horizontal="center" vertical="center" wrapText="1"/>
      <protection locked="0"/>
    </xf>
    <xf numFmtId="9" fontId="35" fillId="3" borderId="5" xfId="0" applyNumberFormat="1" applyFont="1" applyFill="1" applyBorder="1" applyAlignment="1" applyProtection="1">
      <alignment horizontal="center" vertical="center" wrapText="1"/>
      <protection locked="0"/>
    </xf>
    <xf numFmtId="0" fontId="40" fillId="3" borderId="0" xfId="0" applyFont="1" applyFill="1" applyAlignment="1">
      <alignment horizontal="left" vertical="top" wrapText="1"/>
    </xf>
    <xf numFmtId="0" fontId="36" fillId="3" borderId="3" xfId="0" applyFont="1" applyFill="1" applyBorder="1" applyAlignment="1" applyProtection="1">
      <alignment horizontal="center" vertical="center" wrapText="1"/>
      <protection locked="0"/>
    </xf>
    <xf numFmtId="9" fontId="26" fillId="3" borderId="3" xfId="0" applyNumberFormat="1" applyFont="1" applyFill="1" applyBorder="1" applyAlignment="1" applyProtection="1">
      <alignment horizontal="center" vertical="center" wrapText="1"/>
      <protection locked="0"/>
    </xf>
    <xf numFmtId="2" fontId="26" fillId="3" borderId="2" xfId="0" applyNumberFormat="1"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left" vertical="center" wrapText="1"/>
      <protection locked="0"/>
    </xf>
    <xf numFmtId="0" fontId="35" fillId="3" borderId="2" xfId="0" quotePrefix="1" applyFont="1" applyFill="1" applyBorder="1" applyAlignment="1" applyProtection="1">
      <alignment horizontal="left" vertical="center" wrapText="1"/>
      <protection locked="0"/>
    </xf>
    <xf numFmtId="9" fontId="35" fillId="3" borderId="13" xfId="0" applyNumberFormat="1" applyFont="1" applyFill="1" applyBorder="1" applyAlignment="1" applyProtection="1">
      <alignment horizontal="center" vertical="center" wrapText="1"/>
      <protection locked="0"/>
    </xf>
    <xf numFmtId="0" fontId="35" fillId="3" borderId="0" xfId="0" applyFont="1" applyFill="1" applyAlignment="1">
      <alignment horizontal="left" vertical="top" wrapText="1"/>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36" fillId="4" borderId="7" xfId="0" applyFont="1" applyFill="1" applyBorder="1" applyAlignment="1" applyProtection="1">
      <alignment horizontal="left" vertical="center" wrapText="1"/>
      <protection locked="0"/>
    </xf>
    <xf numFmtId="9" fontId="40" fillId="4" borderId="2" xfId="0" applyNumberFormat="1" applyFont="1" applyFill="1" applyBorder="1" applyAlignment="1" applyProtection="1">
      <alignment horizontal="center" vertical="center" wrapText="1"/>
      <protection locked="0"/>
    </xf>
    <xf numFmtId="9" fontId="40" fillId="4" borderId="6" xfId="0" applyNumberFormat="1" applyFont="1" applyFill="1" applyBorder="1" applyAlignment="1" applyProtection="1">
      <alignment horizontal="center" vertical="center" wrapText="1"/>
      <protection locked="0"/>
    </xf>
    <xf numFmtId="9" fontId="40" fillId="3" borderId="13" xfId="0" applyNumberFormat="1" applyFont="1" applyFill="1" applyBorder="1" applyAlignment="1" applyProtection="1">
      <alignment horizontal="center" vertical="center" wrapText="1"/>
      <protection locked="0"/>
    </xf>
    <xf numFmtId="0" fontId="26" fillId="3" borderId="5" xfId="0" applyFont="1" applyFill="1" applyBorder="1" applyAlignment="1" applyProtection="1">
      <alignment vertical="top" wrapText="1"/>
      <protection locked="0"/>
    </xf>
    <xf numFmtId="0" fontId="26" fillId="4" borderId="3" xfId="0" applyFont="1" applyFill="1" applyBorder="1" applyAlignment="1" applyProtection="1">
      <alignment horizontal="center" vertical="center" wrapText="1"/>
      <protection locked="0"/>
    </xf>
    <xf numFmtId="0" fontId="26" fillId="4" borderId="3" xfId="0" applyFont="1" applyFill="1" applyBorder="1" applyAlignment="1" applyProtection="1">
      <alignment vertical="center" wrapText="1"/>
      <protection locked="0"/>
    </xf>
    <xf numFmtId="0" fontId="26" fillId="4" borderId="9"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4" fontId="26" fillId="4" borderId="4" xfId="0" applyNumberFormat="1" applyFont="1" applyFill="1" applyBorder="1" applyAlignment="1" applyProtection="1">
      <alignment horizontal="center" vertical="center" wrapText="1"/>
      <protection locked="0"/>
    </xf>
    <xf numFmtId="0" fontId="26" fillId="4" borderId="4" xfId="0" applyFont="1" applyFill="1" applyBorder="1" applyAlignment="1" applyProtection="1">
      <alignment vertical="center" wrapText="1"/>
      <protection locked="0"/>
    </xf>
    <xf numFmtId="0" fontId="40" fillId="3" borderId="5" xfId="0" applyFont="1" applyFill="1" applyBorder="1" applyAlignment="1" applyProtection="1">
      <alignment horizontal="left" vertical="center" wrapText="1"/>
      <protection locked="0"/>
    </xf>
    <xf numFmtId="9" fontId="40" fillId="3" borderId="6" xfId="0" applyNumberFormat="1" applyFont="1" applyFill="1" applyBorder="1" applyAlignment="1" applyProtection="1">
      <alignment horizontal="center" vertical="center" wrapText="1"/>
      <protection locked="0"/>
    </xf>
    <xf numFmtId="0" fontId="35" fillId="3" borderId="0" xfId="0" applyFont="1" applyFill="1" applyAlignment="1">
      <alignment wrapText="1"/>
    </xf>
    <xf numFmtId="169" fontId="26" fillId="3" borderId="6" xfId="0" applyNumberFormat="1" applyFont="1" applyFill="1" applyBorder="1" applyAlignment="1" applyProtection="1">
      <alignment horizontal="center" vertical="center" wrapText="1"/>
      <protection locked="0"/>
    </xf>
    <xf numFmtId="4" fontId="26" fillId="3" borderId="0" xfId="0" applyNumberFormat="1" applyFont="1" applyFill="1" applyAlignment="1">
      <alignment wrapText="1"/>
    </xf>
    <xf numFmtId="9" fontId="26" fillId="3" borderId="13" xfId="0" applyNumberFormat="1"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169" fontId="35" fillId="3" borderId="6" xfId="0" applyNumberFormat="1" applyFont="1" applyFill="1" applyBorder="1" applyAlignment="1" applyProtection="1">
      <alignment horizontal="center" vertical="center" wrapText="1"/>
      <protection locked="0"/>
    </xf>
    <xf numFmtId="0" fontId="36" fillId="4" borderId="5" xfId="0" applyFont="1" applyFill="1" applyBorder="1" applyAlignment="1" applyProtection="1">
      <alignment horizontal="left" vertical="top" wrapText="1"/>
      <protection locked="0"/>
    </xf>
    <xf numFmtId="9" fontId="36" fillId="3" borderId="5" xfId="0" applyNumberFormat="1" applyFont="1" applyFill="1" applyBorder="1" applyAlignment="1" applyProtection="1">
      <alignment horizontal="center" vertical="center" wrapText="1"/>
      <protection locked="0"/>
    </xf>
    <xf numFmtId="0" fontId="40" fillId="3" borderId="5" xfId="0" applyFont="1" applyFill="1" applyBorder="1" applyAlignment="1" applyProtection="1">
      <alignment vertical="top" wrapText="1"/>
      <protection locked="0"/>
    </xf>
    <xf numFmtId="0" fontId="40" fillId="3" borderId="0" xfId="0" applyFont="1" applyFill="1" applyAlignment="1">
      <alignment wrapText="1"/>
    </xf>
    <xf numFmtId="0" fontId="26" fillId="3" borderId="3" xfId="0" applyFont="1" applyFill="1" applyBorder="1" applyAlignment="1" applyProtection="1">
      <alignment vertical="top" wrapText="1"/>
      <protection locked="0"/>
    </xf>
    <xf numFmtId="0" fontId="26" fillId="3" borderId="4" xfId="0" applyFont="1" applyFill="1" applyBorder="1" applyAlignment="1" applyProtection="1">
      <alignment vertical="top" wrapText="1"/>
      <protection locked="0"/>
    </xf>
    <xf numFmtId="0" fontId="26" fillId="0" borderId="2" xfId="0" applyFont="1" applyFill="1" applyBorder="1" applyAlignment="1" applyProtection="1">
      <alignment horizontal="left" vertical="center" wrapText="1"/>
      <protection locked="0"/>
    </xf>
    <xf numFmtId="4" fontId="26" fillId="0" borderId="2" xfId="0" applyNumberFormat="1" applyFont="1" applyFill="1" applyBorder="1" applyAlignment="1" applyProtection="1">
      <alignment horizontal="center" vertical="center" wrapText="1"/>
      <protection locked="0"/>
    </xf>
    <xf numFmtId="9" fontId="26" fillId="0" borderId="6" xfId="0" applyNumberFormat="1" applyFont="1" applyFill="1" applyBorder="1" applyAlignment="1" applyProtection="1">
      <alignment horizontal="center" vertical="center" wrapText="1"/>
      <protection locked="0"/>
    </xf>
    <xf numFmtId="9" fontId="26" fillId="0" borderId="2" xfId="0" applyNumberFormat="1" applyFont="1" applyFill="1" applyBorder="1" applyAlignment="1" applyProtection="1">
      <alignment horizontal="center" vertical="center" wrapText="1"/>
      <protection locked="0"/>
    </xf>
    <xf numFmtId="169" fontId="26" fillId="0" borderId="6" xfId="0" applyNumberFormat="1" applyFont="1" applyFill="1" applyBorder="1" applyAlignment="1" applyProtection="1">
      <alignment horizontal="center" vertical="center" wrapText="1"/>
      <protection locked="0"/>
    </xf>
    <xf numFmtId="4" fontId="26" fillId="6" borderId="2" xfId="0" applyNumberFormat="1" applyFont="1" applyFill="1" applyBorder="1" applyAlignment="1" applyProtection="1">
      <alignment horizontal="center" vertical="center" wrapText="1"/>
      <protection locked="0"/>
    </xf>
    <xf numFmtId="169" fontId="40" fillId="3" borderId="2" xfId="0" applyNumberFormat="1" applyFont="1" applyFill="1" applyBorder="1" applyAlignment="1" applyProtection="1">
      <alignment horizontal="center" vertical="center" wrapText="1"/>
      <protection locked="0"/>
    </xf>
    <xf numFmtId="10" fontId="40" fillId="3" borderId="6" xfId="0" applyNumberFormat="1" applyFont="1" applyFill="1" applyBorder="1" applyAlignment="1" applyProtection="1">
      <alignment horizontal="center" vertical="center" wrapText="1"/>
      <protection locked="0"/>
    </xf>
    <xf numFmtId="169" fontId="26" fillId="3" borderId="2" xfId="0" applyNumberFormat="1" applyFont="1" applyFill="1" applyBorder="1" applyAlignment="1" applyProtection="1">
      <alignment horizontal="center" vertical="center" wrapText="1"/>
      <protection locked="0"/>
    </xf>
    <xf numFmtId="0" fontId="40" fillId="3" borderId="3" xfId="0" applyFont="1" applyFill="1" applyBorder="1" applyAlignment="1" applyProtection="1">
      <alignment horizontal="center" vertical="center" wrapText="1"/>
      <protection locked="0"/>
    </xf>
    <xf numFmtId="0" fontId="40" fillId="3" borderId="4" xfId="0" applyFont="1" applyFill="1" applyBorder="1" applyAlignment="1" applyProtection="1">
      <alignment horizontal="center" vertical="center" wrapText="1"/>
      <protection locked="0"/>
    </xf>
    <xf numFmtId="2" fontId="36" fillId="4" borderId="2" xfId="0" applyNumberFormat="1" applyFont="1" applyFill="1" applyBorder="1" applyAlignment="1" applyProtection="1">
      <alignment horizontal="center" vertical="center" wrapText="1"/>
      <protection locked="0"/>
    </xf>
    <xf numFmtId="0" fontId="26" fillId="3" borderId="5" xfId="0" applyFont="1" applyFill="1" applyBorder="1" applyAlignment="1" applyProtection="1">
      <alignment horizontal="left" vertical="center" wrapText="1"/>
      <protection locked="0"/>
    </xf>
    <xf numFmtId="0" fontId="36" fillId="2" borderId="0" xfId="0" applyFont="1" applyFill="1" applyAlignment="1">
      <alignment horizontal="left" vertical="center" wrapText="1"/>
    </xf>
    <xf numFmtId="0" fontId="36" fillId="4" borderId="3" xfId="0" quotePrefix="1" applyFont="1" applyFill="1" applyBorder="1" applyAlignment="1" applyProtection="1">
      <alignment horizontal="center" vertical="center" wrapText="1"/>
      <protection locked="0"/>
    </xf>
    <xf numFmtId="0" fontId="26" fillId="4" borderId="6"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wrapText="1"/>
      <protection locked="0"/>
    </xf>
    <xf numFmtId="0" fontId="36" fillId="4" borderId="4" xfId="0" quotePrefix="1" applyFont="1" applyFill="1" applyBorder="1" applyAlignment="1" applyProtection="1">
      <alignment horizontal="center" vertical="center" wrapText="1"/>
      <protection locked="0"/>
    </xf>
    <xf numFmtId="169" fontId="36" fillId="4" borderId="2" xfId="0" applyNumberFormat="1" applyFont="1" applyFill="1" applyBorder="1" applyAlignment="1" applyProtection="1">
      <alignment horizontal="center" vertical="center" wrapText="1"/>
      <protection locked="0"/>
    </xf>
    <xf numFmtId="169" fontId="26" fillId="4" borderId="2" xfId="0" applyNumberFormat="1" applyFont="1" applyFill="1" applyBorder="1" applyAlignment="1" applyProtection="1">
      <alignment horizontal="center" vertical="center" wrapText="1"/>
      <protection locked="0"/>
    </xf>
    <xf numFmtId="169" fontId="26" fillId="4" borderId="10" xfId="0" applyNumberFormat="1" applyFont="1" applyFill="1" applyBorder="1" applyAlignment="1" applyProtection="1">
      <alignment horizontal="center" vertical="center" wrapText="1"/>
      <protection locked="0"/>
    </xf>
    <xf numFmtId="0" fontId="36" fillId="4" borderId="3" xfId="0" applyFont="1" applyFill="1" applyBorder="1" applyAlignment="1" applyProtection="1">
      <alignment vertical="center" wrapText="1"/>
      <protection locked="0"/>
    </xf>
    <xf numFmtId="9" fontId="26" fillId="4" borderId="4" xfId="0" applyNumberFormat="1" applyFont="1" applyFill="1" applyBorder="1" applyAlignment="1" applyProtection="1">
      <alignment horizontal="center" vertical="center" wrapText="1"/>
      <protection locked="0"/>
    </xf>
    <xf numFmtId="9" fontId="26" fillId="4" borderId="10" xfId="0" applyNumberFormat="1" applyFont="1" applyFill="1" applyBorder="1" applyAlignment="1" applyProtection="1">
      <alignment horizontal="center" vertical="center" wrapText="1"/>
      <protection locked="0"/>
    </xf>
    <xf numFmtId="0" fontId="36" fillId="4" borderId="4" xfId="0" applyFont="1" applyFill="1" applyBorder="1" applyAlignment="1" applyProtection="1">
      <alignment vertical="center" wrapText="1"/>
      <protection locked="0"/>
    </xf>
    <xf numFmtId="169" fontId="35" fillId="3" borderId="2" xfId="0" applyNumberFormat="1" applyFont="1" applyFill="1" applyBorder="1" applyAlignment="1" applyProtection="1">
      <alignment horizontal="center" vertical="center" wrapText="1"/>
      <protection locked="0"/>
    </xf>
    <xf numFmtId="169" fontId="40" fillId="3" borderId="6" xfId="0" applyNumberFormat="1" applyFont="1" applyFill="1" applyBorder="1" applyAlignment="1" applyProtection="1">
      <alignment horizontal="center" vertical="center" wrapText="1"/>
      <protection locked="0"/>
    </xf>
    <xf numFmtId="0" fontId="35" fillId="3" borderId="4" xfId="0" applyFont="1" applyFill="1" applyBorder="1" applyAlignment="1" applyProtection="1">
      <alignment horizontal="left" vertical="center" wrapText="1"/>
      <protection locked="0"/>
    </xf>
    <xf numFmtId="4" fontId="35" fillId="3" borderId="4" xfId="0" applyNumberFormat="1" applyFont="1" applyFill="1" applyBorder="1" applyAlignment="1" applyProtection="1">
      <alignment horizontal="center" vertical="center" wrapText="1"/>
      <protection locked="0"/>
    </xf>
    <xf numFmtId="0" fontId="40" fillId="3" borderId="6"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35" fillId="3" borderId="6" xfId="0" applyFont="1" applyFill="1" applyBorder="1" applyAlignment="1" applyProtection="1">
      <alignment horizontal="left" vertical="center" wrapText="1"/>
      <protection locked="0"/>
    </xf>
    <xf numFmtId="11" fontId="26" fillId="3" borderId="5" xfId="0" applyNumberFormat="1" applyFont="1" applyFill="1" applyBorder="1" applyAlignment="1" applyProtection="1">
      <alignment horizontal="left" vertical="center" wrapText="1"/>
    </xf>
    <xf numFmtId="11" fontId="43" fillId="3" borderId="3" xfId="0" applyNumberFormat="1" applyFont="1" applyFill="1" applyBorder="1" applyAlignment="1" applyProtection="1">
      <alignment horizontal="left" vertical="center" wrapText="1"/>
    </xf>
    <xf numFmtId="11" fontId="43" fillId="3" borderId="4" xfId="0" applyNumberFormat="1" applyFont="1" applyFill="1" applyBorder="1" applyAlignment="1" applyProtection="1">
      <alignment horizontal="left" vertical="center" wrapText="1"/>
    </xf>
    <xf numFmtId="0" fontId="26" fillId="6" borderId="0" xfId="0" applyFont="1" applyFill="1" applyAlignment="1">
      <alignment horizontal="left" vertical="top" wrapText="1"/>
    </xf>
    <xf numFmtId="2" fontId="40" fillId="3" borderId="2" xfId="0" applyNumberFormat="1" applyFont="1" applyFill="1" applyBorder="1" applyAlignment="1" applyProtection="1">
      <alignment horizontal="center" vertical="center" wrapText="1"/>
      <protection locked="0"/>
    </xf>
    <xf numFmtId="4" fontId="26" fillId="3" borderId="2" xfId="0" applyNumberFormat="1" applyFont="1" applyFill="1" applyBorder="1" applyAlignment="1" applyProtection="1">
      <alignment horizontal="center" vertical="center"/>
      <protection locked="0"/>
    </xf>
    <xf numFmtId="0" fontId="36" fillId="3" borderId="3" xfId="0" applyFont="1" applyFill="1" applyBorder="1" applyAlignment="1" applyProtection="1">
      <alignment horizontal="left" vertical="top" wrapText="1"/>
      <protection locked="0"/>
    </xf>
    <xf numFmtId="0" fontId="36" fillId="3" borderId="5" xfId="0" applyFont="1" applyFill="1" applyBorder="1" applyAlignment="1" applyProtection="1">
      <alignment horizontal="left" vertical="top" wrapText="1"/>
      <protection locked="0"/>
    </xf>
    <xf numFmtId="0" fontId="36" fillId="3" borderId="4" xfId="0" applyFont="1" applyFill="1" applyBorder="1" applyAlignment="1" applyProtection="1">
      <alignment horizontal="left" vertical="top" wrapText="1"/>
      <protection locked="0"/>
    </xf>
    <xf numFmtId="0" fontId="40" fillId="3" borderId="3" xfId="0" applyFont="1" applyFill="1" applyBorder="1" applyAlignment="1" applyProtection="1">
      <alignment vertical="top" wrapText="1"/>
      <protection locked="0"/>
    </xf>
    <xf numFmtId="0" fontId="40" fillId="3" borderId="4" xfId="0" applyFont="1" applyFill="1" applyBorder="1" applyAlignment="1" applyProtection="1">
      <alignment vertical="top" wrapText="1"/>
      <protection locked="0"/>
    </xf>
    <xf numFmtId="0" fontId="35" fillId="3" borderId="0" xfId="0" applyFont="1" applyFill="1" applyAlignment="1">
      <alignment horizontal="left" vertical="center" wrapText="1"/>
    </xf>
    <xf numFmtId="0" fontId="26" fillId="3" borderId="8" xfId="0" applyFont="1" applyFill="1" applyBorder="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4" fontId="36" fillId="6" borderId="2" xfId="0" applyNumberFormat="1" applyFont="1" applyFill="1" applyBorder="1" applyAlignment="1" applyProtection="1">
      <alignment horizontal="center" vertical="center" wrapText="1"/>
      <protection locked="0"/>
    </xf>
    <xf numFmtId="0" fontId="35" fillId="6" borderId="0" xfId="0" applyFont="1" applyFill="1" applyAlignment="1">
      <alignment horizontal="left" vertical="center" wrapText="1"/>
    </xf>
    <xf numFmtId="0" fontId="36" fillId="3" borderId="0" xfId="0" applyFont="1" applyFill="1" applyAlignment="1">
      <alignment horizontal="left" vertical="center" wrapText="1"/>
    </xf>
    <xf numFmtId="0" fontId="40" fillId="3" borderId="0" xfId="0" applyFont="1" applyFill="1" applyAlignment="1">
      <alignment horizontal="left" vertical="center" wrapText="1"/>
    </xf>
    <xf numFmtId="0" fontId="26" fillId="3" borderId="5" xfId="0" applyFont="1" applyFill="1" applyBorder="1" applyAlignment="1" applyProtection="1">
      <alignment vertical="center" wrapText="1"/>
      <protection locked="0"/>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wrapText="1"/>
    </xf>
    <xf numFmtId="169" fontId="26" fillId="4" borderId="4" xfId="0" applyNumberFormat="1" applyFont="1" applyFill="1" applyBorder="1" applyAlignment="1" applyProtection="1">
      <alignment horizontal="center" vertical="center" wrapText="1"/>
      <protection locked="0"/>
    </xf>
    <xf numFmtId="10" fontId="26" fillId="3" borderId="3" xfId="0" applyNumberFormat="1" applyFont="1" applyFill="1" applyBorder="1" applyAlignment="1" applyProtection="1">
      <alignment horizontal="center" vertical="center" wrapText="1"/>
      <protection locked="0"/>
    </xf>
    <xf numFmtId="169" fontId="26" fillId="3" borderId="3" xfId="0" applyNumberFormat="1" applyFont="1" applyFill="1" applyBorder="1" applyAlignment="1" applyProtection="1">
      <alignment horizontal="center" vertical="center" wrapText="1"/>
      <protection locked="0"/>
    </xf>
    <xf numFmtId="169" fontId="26" fillId="3" borderId="4" xfId="0" applyNumberFormat="1" applyFont="1" applyFill="1" applyBorder="1" applyAlignment="1" applyProtection="1">
      <alignment horizontal="center" vertical="center" wrapText="1"/>
      <protection locked="0"/>
    </xf>
    <xf numFmtId="49" fontId="40" fillId="3" borderId="5" xfId="0" applyNumberFormat="1" applyFont="1" applyFill="1" applyBorder="1" applyAlignment="1" applyProtection="1">
      <alignment horizontal="center" vertical="center" wrapText="1"/>
      <protection locked="0"/>
    </xf>
    <xf numFmtId="49" fontId="36" fillId="3" borderId="3" xfId="0" applyNumberFormat="1" applyFont="1" applyFill="1" applyBorder="1" applyAlignment="1" applyProtection="1">
      <alignment horizontal="center" vertical="center" wrapText="1"/>
      <protection locked="0"/>
    </xf>
    <xf numFmtId="49" fontId="36" fillId="3" borderId="4" xfId="0" applyNumberFormat="1" applyFont="1" applyFill="1" applyBorder="1" applyAlignment="1" applyProtection="1">
      <alignment horizontal="center" vertical="center" wrapText="1"/>
      <protection locked="0"/>
    </xf>
    <xf numFmtId="49" fontId="35" fillId="3" borderId="5" xfId="0" applyNumberFormat="1" applyFont="1" applyFill="1" applyBorder="1" applyAlignment="1" applyProtection="1">
      <alignment horizontal="center" vertical="center" wrapText="1"/>
      <protection locked="0"/>
    </xf>
    <xf numFmtId="49" fontId="35" fillId="3" borderId="3" xfId="0" applyNumberFormat="1" applyFont="1" applyFill="1" applyBorder="1" applyAlignment="1" applyProtection="1">
      <alignment horizontal="center" vertical="center" wrapText="1"/>
      <protection locked="0"/>
    </xf>
    <xf numFmtId="49" fontId="35" fillId="3" borderId="4" xfId="0" applyNumberFormat="1" applyFont="1" applyFill="1" applyBorder="1" applyAlignment="1" applyProtection="1">
      <alignment horizontal="center" vertical="center" wrapText="1"/>
      <protection locked="0"/>
    </xf>
    <xf numFmtId="4" fontId="36" fillId="4" borderId="4" xfId="0" applyNumberFormat="1" applyFont="1" applyFill="1" applyBorder="1" applyAlignment="1" applyProtection="1">
      <alignment horizontal="center" vertical="center" wrapText="1"/>
      <protection locked="0"/>
    </xf>
    <xf numFmtId="0" fontId="26" fillId="4" borderId="11" xfId="0" applyFont="1" applyFill="1" applyBorder="1" applyAlignment="1" applyProtection="1">
      <alignment horizontal="left" vertical="center" wrapText="1"/>
      <protection locked="0"/>
    </xf>
    <xf numFmtId="49" fontId="40" fillId="3" borderId="3" xfId="0" applyNumberFormat="1" applyFont="1" applyFill="1" applyBorder="1" applyAlignment="1" applyProtection="1">
      <alignment horizontal="center" vertical="center" wrapText="1"/>
      <protection locked="0"/>
    </xf>
    <xf numFmtId="0" fontId="40" fillId="3" borderId="4" xfId="0" applyFont="1" applyFill="1" applyBorder="1" applyAlignment="1" applyProtection="1">
      <alignment horizontal="left" vertical="center" wrapText="1"/>
      <protection locked="0"/>
    </xf>
    <xf numFmtId="4" fontId="40" fillId="3" borderId="4" xfId="0" applyNumberFormat="1" applyFont="1" applyFill="1" applyBorder="1" applyAlignment="1" applyProtection="1">
      <alignment horizontal="center" vertical="center" wrapText="1"/>
      <protection locked="0"/>
    </xf>
    <xf numFmtId="9" fontId="40" fillId="3" borderId="4" xfId="0" applyNumberFormat="1" applyFont="1" applyFill="1" applyBorder="1" applyAlignment="1" applyProtection="1">
      <alignment horizontal="center" vertical="center" wrapText="1"/>
      <protection locked="0"/>
    </xf>
    <xf numFmtId="0" fontId="26" fillId="3" borderId="0" xfId="0" applyFont="1" applyFill="1" applyAlignment="1">
      <alignment horizontal="left" vertical="center" wrapText="1"/>
    </xf>
    <xf numFmtId="49" fontId="26" fillId="3" borderId="3" xfId="0" applyNumberFormat="1" applyFont="1" applyFill="1" applyBorder="1" applyAlignment="1" applyProtection="1">
      <alignment horizontal="center" vertical="center" wrapText="1"/>
      <protection locked="0"/>
    </xf>
    <xf numFmtId="49" fontId="26" fillId="3" borderId="4" xfId="0" applyNumberFormat="1" applyFont="1" applyFill="1" applyBorder="1" applyAlignment="1" applyProtection="1">
      <alignment horizontal="center" vertical="center" wrapText="1"/>
      <protection locked="0"/>
    </xf>
    <xf numFmtId="0" fontId="35" fillId="3" borderId="2" xfId="0" applyFont="1" applyFill="1" applyBorder="1" applyAlignment="1" applyProtection="1">
      <alignment horizontal="justify" vertical="top" wrapText="1"/>
      <protection locked="0"/>
    </xf>
    <xf numFmtId="49" fontId="26" fillId="3" borderId="5" xfId="0" applyNumberFormat="1" applyFont="1" applyFill="1" applyBorder="1" applyAlignment="1" applyProtection="1">
      <alignment horizontal="center" vertical="center" wrapText="1"/>
      <protection locked="0"/>
    </xf>
    <xf numFmtId="0" fontId="26" fillId="3" borderId="2" xfId="0" applyFont="1" applyFill="1" applyBorder="1" applyAlignment="1" applyProtection="1">
      <alignment horizontal="justify" vertical="top" wrapText="1"/>
      <protection locked="0"/>
    </xf>
    <xf numFmtId="4" fontId="26" fillId="0" borderId="4" xfId="0" applyNumberFormat="1" applyFont="1" applyFill="1" applyBorder="1" applyAlignment="1" applyProtection="1">
      <alignment horizontal="center" vertical="center" wrapText="1"/>
      <protection locked="0"/>
    </xf>
    <xf numFmtId="4" fontId="35" fillId="0" borderId="2" xfId="0" applyNumberFormat="1" applyFont="1" applyFill="1" applyBorder="1" applyAlignment="1" applyProtection="1">
      <alignment horizontal="center" vertical="center" wrapText="1"/>
      <protection locked="0"/>
    </xf>
    <xf numFmtId="9" fontId="35" fillId="0" borderId="2" xfId="0" applyNumberFormat="1" applyFont="1" applyFill="1" applyBorder="1" applyAlignment="1" applyProtection="1">
      <alignment horizontal="center" vertical="center" wrapText="1"/>
      <protection locked="0"/>
    </xf>
    <xf numFmtId="9" fontId="35" fillId="0" borderId="6" xfId="0" applyNumberFormat="1" applyFont="1" applyFill="1" applyBorder="1" applyAlignment="1" applyProtection="1">
      <alignment horizontal="center" vertical="center" wrapText="1"/>
      <protection locked="0"/>
    </xf>
    <xf numFmtId="4" fontId="35" fillId="7" borderId="2" xfId="0" applyNumberFormat="1" applyFont="1" applyFill="1" applyBorder="1" applyAlignment="1" applyProtection="1">
      <alignment horizontal="center" vertical="center" wrapText="1"/>
      <protection locked="0"/>
    </xf>
    <xf numFmtId="4" fontId="36" fillId="0" borderId="2" xfId="0" applyNumberFormat="1" applyFont="1" applyFill="1" applyBorder="1" applyAlignment="1" applyProtection="1">
      <alignment horizontal="center" vertical="center" wrapText="1"/>
      <protection locked="0"/>
    </xf>
    <xf numFmtId="2" fontId="26" fillId="0" borderId="2" xfId="0" applyNumberFormat="1" applyFont="1" applyFill="1" applyBorder="1" applyAlignment="1" applyProtection="1">
      <alignment horizontal="center" vertical="center" wrapText="1"/>
      <protection locked="0"/>
    </xf>
    <xf numFmtId="4" fontId="26" fillId="7" borderId="2" xfId="0" applyNumberFormat="1" applyFont="1" applyFill="1" applyBorder="1" applyAlignment="1" applyProtection="1">
      <alignment horizontal="center" vertical="center" wrapText="1"/>
      <protection locked="0"/>
    </xf>
    <xf numFmtId="4" fontId="36" fillId="7" borderId="2" xfId="0" applyNumberFormat="1" applyFont="1" applyFill="1" applyBorder="1" applyAlignment="1" applyProtection="1">
      <alignment horizontal="center" vertical="center" wrapText="1"/>
      <protection locked="0"/>
    </xf>
    <xf numFmtId="4" fontId="26" fillId="7" borderId="4" xfId="0" applyNumberFormat="1" applyFont="1" applyFill="1" applyBorder="1" applyAlignment="1" applyProtection="1">
      <alignment horizontal="center" vertical="center" wrapText="1"/>
      <protection locked="0"/>
    </xf>
    <xf numFmtId="2" fontId="26" fillId="0" borderId="4" xfId="0" applyNumberFormat="1" applyFont="1" applyFill="1" applyBorder="1" applyAlignment="1" applyProtection="1">
      <alignment horizontal="center" vertical="center" wrapText="1"/>
      <protection locked="0"/>
    </xf>
    <xf numFmtId="0" fontId="26" fillId="0" borderId="3" xfId="0" applyFont="1" applyFill="1" applyBorder="1" applyAlignment="1" applyProtection="1">
      <alignment horizontal="left" vertical="top" wrapText="1"/>
      <protection locked="0"/>
    </xf>
    <xf numFmtId="4" fontId="40" fillId="0" borderId="2" xfId="0" applyNumberFormat="1" applyFont="1" applyFill="1" applyBorder="1" applyAlignment="1" applyProtection="1">
      <alignment horizontal="center" vertical="center" wrapText="1"/>
      <protection locked="0"/>
    </xf>
    <xf numFmtId="9" fontId="40" fillId="0" borderId="2" xfId="0" applyNumberFormat="1" applyFont="1" applyFill="1" applyBorder="1" applyAlignment="1" applyProtection="1">
      <alignment horizontal="center" vertical="center" wrapText="1"/>
      <protection locked="0"/>
    </xf>
    <xf numFmtId="9" fontId="40" fillId="0" borderId="6" xfId="0" applyNumberFormat="1" applyFont="1" applyFill="1" applyBorder="1" applyAlignment="1" applyProtection="1">
      <alignment horizontal="center" vertical="center" wrapText="1"/>
      <protection locked="0"/>
    </xf>
    <xf numFmtId="9" fontId="26" fillId="0" borderId="5" xfId="0" applyNumberFormat="1" applyFont="1" applyFill="1" applyBorder="1" applyAlignment="1" applyProtection="1">
      <alignment horizontal="center" vertical="center" wrapText="1"/>
      <protection locked="0"/>
    </xf>
    <xf numFmtId="169" fontId="26" fillId="0" borderId="2" xfId="0" applyNumberFormat="1" applyFont="1" applyFill="1" applyBorder="1" applyAlignment="1" applyProtection="1">
      <alignment horizontal="center" vertical="center" wrapText="1"/>
      <protection locked="0"/>
    </xf>
    <xf numFmtId="0" fontId="35" fillId="3" borderId="5" xfId="0" applyFont="1" applyFill="1" applyBorder="1" applyAlignment="1" applyProtection="1">
      <alignment vertical="center" wrapText="1"/>
      <protection locked="0"/>
    </xf>
    <xf numFmtId="0" fontId="26" fillId="3" borderId="3" xfId="0" applyFont="1" applyFill="1" applyBorder="1" applyAlignment="1" applyProtection="1">
      <alignment vertical="center" wrapText="1"/>
      <protection locked="0"/>
    </xf>
    <xf numFmtId="0" fontId="26" fillId="3" borderId="4" xfId="0" applyFont="1" applyFill="1" applyBorder="1" applyAlignment="1" applyProtection="1">
      <alignment vertical="center" wrapText="1"/>
      <protection locked="0"/>
    </xf>
    <xf numFmtId="4" fontId="26" fillId="3" borderId="4" xfId="0" applyNumberFormat="1" applyFont="1" applyFill="1" applyBorder="1" applyAlignment="1" applyProtection="1">
      <alignment horizontal="left" vertical="center" wrapText="1"/>
      <protection locked="0"/>
    </xf>
    <xf numFmtId="0" fontId="40" fillId="6" borderId="0" xfId="0" applyFont="1" applyFill="1" applyAlignment="1">
      <alignment horizontal="left" vertical="center" wrapText="1"/>
    </xf>
    <xf numFmtId="0" fontId="40" fillId="3" borderId="8" xfId="0" applyFont="1" applyFill="1" applyBorder="1" applyAlignment="1" applyProtection="1">
      <alignment horizontal="left" vertical="center" wrapText="1"/>
      <protection locked="0"/>
    </xf>
    <xf numFmtId="4" fontId="26" fillId="3" borderId="2" xfId="0" applyNumberFormat="1" applyFont="1" applyFill="1" applyBorder="1" applyAlignment="1" applyProtection="1">
      <alignment horizontal="left" vertical="center" wrapText="1"/>
      <protection locked="0"/>
    </xf>
    <xf numFmtId="0" fontId="35" fillId="3" borderId="8" xfId="0" applyFont="1" applyFill="1" applyBorder="1" applyAlignment="1" applyProtection="1">
      <alignment horizontal="left" vertical="center" wrapText="1"/>
      <protection locked="0"/>
    </xf>
    <xf numFmtId="14" fontId="35" fillId="3" borderId="5" xfId="0" applyNumberFormat="1" applyFont="1" applyFill="1" applyBorder="1" applyAlignment="1" applyProtection="1">
      <alignment horizontal="center" vertical="center" wrapText="1"/>
      <protection locked="0"/>
    </xf>
    <xf numFmtId="14" fontId="35" fillId="3" borderId="3" xfId="0" applyNumberFormat="1" applyFont="1" applyFill="1" applyBorder="1" applyAlignment="1" applyProtection="1">
      <alignment horizontal="center" vertical="center" wrapText="1"/>
      <protection locked="0"/>
    </xf>
    <xf numFmtId="14" fontId="35" fillId="3" borderId="4" xfId="0" applyNumberFormat="1" applyFont="1" applyFill="1" applyBorder="1" applyAlignment="1" applyProtection="1">
      <alignment horizontal="center" vertical="center" wrapText="1"/>
      <protection locked="0"/>
    </xf>
    <xf numFmtId="0" fontId="26" fillId="3" borderId="0" xfId="0" applyFont="1" applyFill="1" applyBorder="1" applyAlignment="1">
      <alignment horizontal="left" vertical="top" wrapText="1"/>
    </xf>
    <xf numFmtId="0" fontId="26" fillId="3" borderId="1" xfId="0" applyFont="1" applyFill="1" applyBorder="1" applyAlignment="1">
      <alignment horizontal="left" vertical="top" wrapText="1"/>
    </xf>
    <xf numFmtId="0" fontId="35" fillId="3" borderId="3" xfId="0" applyFont="1" applyFill="1" applyBorder="1" applyAlignment="1" applyProtection="1">
      <alignment vertical="top" wrapText="1"/>
      <protection locked="0"/>
    </xf>
    <xf numFmtId="0" fontId="35" fillId="3" borderId="4" xfId="0" applyFont="1" applyFill="1" applyBorder="1" applyAlignment="1" applyProtection="1">
      <alignment vertical="top" wrapText="1"/>
      <protection locked="0"/>
    </xf>
    <xf numFmtId="0" fontId="26" fillId="4" borderId="10" xfId="0" applyFont="1" applyFill="1" applyBorder="1" applyAlignment="1" applyProtection="1">
      <alignment horizontal="left" vertical="center" wrapText="1"/>
      <protection locked="0"/>
    </xf>
    <xf numFmtId="9" fontId="36" fillId="6" borderId="2" xfId="0" applyNumberFormat="1" applyFont="1" applyFill="1" applyBorder="1" applyAlignment="1" applyProtection="1">
      <alignment horizontal="center" vertical="center" wrapText="1"/>
      <protection locked="0"/>
    </xf>
    <xf numFmtId="9" fontId="26" fillId="6" borderId="2" xfId="0" applyNumberFormat="1" applyFont="1" applyFill="1" applyBorder="1" applyAlignment="1" applyProtection="1">
      <alignment horizontal="center" vertical="center" wrapText="1"/>
      <protection locked="0"/>
    </xf>
    <xf numFmtId="0" fontId="35" fillId="3" borderId="10" xfId="0" applyFont="1" applyFill="1" applyBorder="1" applyAlignment="1" applyProtection="1">
      <alignment horizontal="left" vertical="center" wrapText="1"/>
      <protection locked="0"/>
    </xf>
    <xf numFmtId="9" fontId="35" fillId="3" borderId="10" xfId="0" applyNumberFormat="1" applyFont="1" applyFill="1" applyBorder="1" applyAlignment="1" applyProtection="1">
      <alignment horizontal="center" vertical="center" wrapText="1"/>
      <protection locked="0"/>
    </xf>
    <xf numFmtId="4" fontId="35" fillId="0" borderId="4" xfId="0" applyNumberFormat="1" applyFont="1" applyFill="1" applyBorder="1" applyAlignment="1" applyProtection="1">
      <alignment horizontal="center" vertical="center" wrapText="1"/>
      <protection locked="0"/>
    </xf>
    <xf numFmtId="4" fontId="36" fillId="3" borderId="0" xfId="0" applyNumberFormat="1" applyFont="1" applyFill="1" applyAlignment="1">
      <alignment horizontal="left" vertical="center" wrapText="1"/>
    </xf>
    <xf numFmtId="4" fontId="26" fillId="3" borderId="0" xfId="0" applyNumberFormat="1" applyFont="1" applyFill="1" applyAlignment="1">
      <alignment horizontal="left" vertical="top" wrapText="1"/>
    </xf>
    <xf numFmtId="0" fontId="26" fillId="0" borderId="4" xfId="0" applyFont="1" applyFill="1" applyBorder="1" applyAlignment="1" applyProtection="1">
      <alignment horizontal="left" vertical="center" wrapText="1"/>
      <protection locked="0"/>
    </xf>
    <xf numFmtId="4" fontId="36" fillId="0" borderId="4" xfId="0" applyNumberFormat="1" applyFont="1" applyFill="1" applyBorder="1" applyAlignment="1" applyProtection="1">
      <alignment horizontal="center" vertical="center" wrapText="1"/>
      <protection locked="0"/>
    </xf>
    <xf numFmtId="4" fontId="26" fillId="3" borderId="10" xfId="0" applyNumberFormat="1" applyFont="1" applyFill="1" applyBorder="1" applyAlignment="1" applyProtection="1">
      <alignment horizontal="center" vertical="center" wrapText="1"/>
      <protection locked="0"/>
    </xf>
    <xf numFmtId="0" fontId="26" fillId="0" borderId="3" xfId="0" quotePrefix="1" applyFont="1" applyFill="1" applyBorder="1" applyAlignment="1" applyProtection="1">
      <alignment horizontal="left" vertical="top" wrapText="1"/>
      <protection locked="0"/>
    </xf>
    <xf numFmtId="0" fontId="26" fillId="3" borderId="3" xfId="0" quotePrefix="1" applyFont="1" applyFill="1" applyBorder="1" applyAlignment="1" applyProtection="1">
      <alignment horizontal="left" vertical="top" wrapText="1"/>
      <protection locked="0"/>
    </xf>
    <xf numFmtId="0" fontId="40" fillId="0" borderId="2" xfId="0" applyFont="1" applyFill="1" applyBorder="1" applyAlignment="1" applyProtection="1">
      <alignment horizontal="left" vertical="center" wrapText="1"/>
      <protection locked="0"/>
    </xf>
    <xf numFmtId="4" fontId="40" fillId="0" borderId="2" xfId="0" applyNumberFormat="1" applyFont="1" applyFill="1" applyBorder="1" applyAlignment="1" applyProtection="1">
      <alignment horizontal="left" vertical="center" wrapText="1"/>
      <protection locked="0"/>
    </xf>
    <xf numFmtId="0" fontId="36" fillId="0" borderId="0" xfId="0" applyFont="1" applyFill="1" applyAlignment="1">
      <alignment horizontal="left" vertical="center" wrapText="1"/>
    </xf>
    <xf numFmtId="4" fontId="26" fillId="0" borderId="2" xfId="0" applyNumberFormat="1" applyFont="1" applyFill="1" applyBorder="1" applyAlignment="1" applyProtection="1">
      <alignment horizontal="left" vertical="center" wrapText="1"/>
      <protection locked="0"/>
    </xf>
    <xf numFmtId="0" fontId="26" fillId="0" borderId="0" xfId="0" applyFont="1" applyFill="1" applyAlignment="1">
      <alignment horizontal="left" wrapText="1"/>
    </xf>
    <xf numFmtId="0" fontId="26" fillId="0" borderId="0" xfId="0" applyFont="1" applyFill="1" applyAlignment="1">
      <alignment horizontal="center" wrapText="1"/>
    </xf>
    <xf numFmtId="4" fontId="26" fillId="0" borderId="0" xfId="0" applyNumberFormat="1" applyFont="1" applyFill="1" applyAlignment="1">
      <alignment wrapText="1"/>
    </xf>
    <xf numFmtId="2" fontId="26" fillId="0" borderId="0" xfId="0" applyNumberFormat="1" applyFont="1" applyFill="1" applyAlignment="1">
      <alignment wrapText="1"/>
    </xf>
    <xf numFmtId="9" fontId="26" fillId="0" borderId="0" xfId="0" applyNumberFormat="1" applyFont="1" applyFill="1" applyAlignment="1">
      <alignment wrapText="1"/>
    </xf>
    <xf numFmtId="9" fontId="26" fillId="3" borderId="0" xfId="0" applyNumberFormat="1" applyFont="1" applyFill="1" applyAlignment="1">
      <alignment wrapText="1"/>
    </xf>
    <xf numFmtId="0" fontId="26" fillId="3" borderId="0" xfId="0" applyFont="1" applyFill="1" applyAlignment="1">
      <alignment horizontal="center" wrapText="1"/>
    </xf>
    <xf numFmtId="2" fontId="26" fillId="3" borderId="0" xfId="0" applyNumberFormat="1" applyFont="1" applyFill="1" applyAlignment="1">
      <alignment wrapText="1"/>
    </xf>
    <xf numFmtId="0" fontId="35" fillId="3" borderId="5" xfId="0" applyFont="1" applyFill="1" applyBorder="1" applyAlignment="1" applyProtection="1">
      <alignment vertical="top" wrapText="1"/>
      <protection locked="0"/>
    </xf>
    <xf numFmtId="9" fontId="21" fillId="3" borderId="2" xfId="0" applyNumberFormat="1" applyFont="1" applyFill="1" applyBorder="1" applyAlignment="1" applyProtection="1">
      <alignment horizontal="center" vertical="center" wrapText="1"/>
      <protection locked="0"/>
    </xf>
    <xf numFmtId="4" fontId="21" fillId="3" borderId="2" xfId="0" applyNumberFormat="1" applyFont="1" applyFill="1" applyBorder="1" applyAlignment="1" applyProtection="1">
      <alignment horizontal="center" vertical="center" wrapText="1"/>
      <protection locked="0"/>
    </xf>
    <xf numFmtId="9" fontId="21" fillId="3" borderId="10" xfId="0" applyNumberFormat="1" applyFont="1" applyFill="1" applyBorder="1" applyAlignment="1" applyProtection="1">
      <alignment horizontal="center" vertical="center" wrapText="1"/>
      <protection locked="0"/>
    </xf>
    <xf numFmtId="4" fontId="19" fillId="3" borderId="4" xfId="0" applyNumberFormat="1" applyFont="1" applyFill="1" applyBorder="1" applyAlignment="1" applyProtection="1">
      <alignment horizontal="center" vertical="center" wrapText="1"/>
      <protection locked="0"/>
    </xf>
    <xf numFmtId="9" fontId="33" fillId="3" borderId="2" xfId="0" applyNumberFormat="1" applyFont="1" applyFill="1" applyBorder="1" applyAlignment="1" applyProtection="1">
      <alignment horizontal="center" vertical="center" wrapText="1"/>
      <protection locked="0"/>
    </xf>
    <xf numFmtId="9" fontId="20" fillId="3" borderId="2" xfId="0" applyNumberFormat="1" applyFont="1" applyFill="1" applyBorder="1" applyAlignment="1" applyProtection="1">
      <alignment horizontal="center" vertical="center"/>
      <protection locked="0"/>
    </xf>
    <xf numFmtId="169" fontId="21" fillId="3" borderId="6" xfId="0" applyNumberFormat="1" applyFont="1" applyFill="1" applyBorder="1" applyAlignment="1" applyProtection="1">
      <alignment horizontal="center" vertical="center" wrapText="1"/>
      <protection locked="0"/>
    </xf>
    <xf numFmtId="9" fontId="21" fillId="0" borderId="6" xfId="0" applyNumberFormat="1" applyFont="1" applyFill="1" applyBorder="1" applyAlignment="1" applyProtection="1">
      <alignment horizontal="center" vertical="center" wrapText="1"/>
      <protection locked="0"/>
    </xf>
    <xf numFmtId="0" fontId="36" fillId="4" borderId="2" xfId="0" quotePrefix="1" applyFont="1" applyFill="1" applyBorder="1" applyAlignment="1" applyProtection="1">
      <alignment horizontal="center" vertical="center" wrapText="1"/>
      <protection locked="0"/>
    </xf>
    <xf numFmtId="9" fontId="35" fillId="4" borderId="2" xfId="0" applyNumberFormat="1" applyFont="1" applyFill="1" applyBorder="1" applyAlignment="1" applyProtection="1">
      <alignment horizontal="center" vertical="center" wrapText="1"/>
      <protection locked="0"/>
    </xf>
    <xf numFmtId="9" fontId="36" fillId="0" borderId="2" xfId="0" applyNumberFormat="1" applyFont="1" applyFill="1" applyBorder="1" applyAlignment="1" applyProtection="1">
      <alignment horizontal="center" vertical="center" wrapText="1"/>
      <protection locked="0"/>
    </xf>
    <xf numFmtId="0" fontId="26" fillId="0" borderId="2" xfId="0" applyFont="1" applyFill="1" applyBorder="1" applyAlignment="1" applyProtection="1">
      <alignment vertical="center" wrapText="1"/>
      <protection locked="0"/>
    </xf>
    <xf numFmtId="165" fontId="26" fillId="4" borderId="2" xfId="0" applyNumberFormat="1" applyFont="1" applyFill="1" applyBorder="1" applyAlignment="1" applyProtection="1">
      <alignment horizontal="center" vertical="center" wrapText="1"/>
      <protection locked="0"/>
    </xf>
    <xf numFmtId="0" fontId="40" fillId="0" borderId="2" xfId="0" quotePrefix="1"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5" fillId="0" borderId="2" xfId="0" quotePrefix="1" applyFont="1" applyFill="1" applyBorder="1" applyAlignment="1" applyProtection="1">
      <alignment horizontal="left" vertical="center" wrapText="1"/>
      <protection locked="0"/>
    </xf>
    <xf numFmtId="9" fontId="33" fillId="0" borderId="2" xfId="0" applyNumberFormat="1" applyFont="1" applyFill="1" applyBorder="1" applyAlignment="1" applyProtection="1">
      <alignment horizontal="center" vertical="center" wrapText="1"/>
      <protection locked="0"/>
    </xf>
    <xf numFmtId="4" fontId="33" fillId="0" borderId="2" xfId="0" applyNumberFormat="1" applyFont="1" applyFill="1" applyBorder="1" applyAlignment="1" applyProtection="1">
      <alignment horizontal="center" vertical="center" wrapText="1"/>
      <protection locked="0"/>
    </xf>
    <xf numFmtId="9" fontId="20" fillId="0" borderId="2" xfId="0" applyNumberFormat="1" applyFont="1" applyFill="1" applyBorder="1" applyAlignment="1" applyProtection="1">
      <alignment horizontal="center" vertical="center" wrapText="1"/>
      <protection locked="0"/>
    </xf>
    <xf numFmtId="4" fontId="44" fillId="4" borderId="2" xfId="0" applyNumberFormat="1" applyFont="1" applyFill="1" applyBorder="1" applyAlignment="1" applyProtection="1">
      <alignment horizontal="center" vertical="center" wrapText="1"/>
      <protection locked="0"/>
    </xf>
    <xf numFmtId="2" fontId="44" fillId="4" borderId="2" xfId="0" applyNumberFormat="1" applyFont="1" applyFill="1" applyBorder="1" applyAlignment="1" applyProtection="1">
      <alignment horizontal="center" vertical="center" wrapText="1"/>
      <protection locked="0"/>
    </xf>
    <xf numFmtId="9" fontId="44" fillId="4" borderId="2" xfId="0" applyNumberFormat="1" applyFont="1" applyFill="1" applyBorder="1" applyAlignment="1" applyProtection="1">
      <alignment horizontal="center" vertical="center" wrapText="1"/>
      <protection locked="0"/>
    </xf>
    <xf numFmtId="9" fontId="44" fillId="4" borderId="6" xfId="0" applyNumberFormat="1" applyFont="1" applyFill="1" applyBorder="1" applyAlignment="1" applyProtection="1">
      <alignment horizontal="center" vertical="center" wrapText="1"/>
      <protection locked="0"/>
    </xf>
    <xf numFmtId="4" fontId="45" fillId="4" borderId="2" xfId="0" applyNumberFormat="1" applyFont="1" applyFill="1" applyBorder="1" applyAlignment="1" applyProtection="1">
      <alignment horizontal="center" vertical="center" wrapText="1"/>
      <protection locked="0"/>
    </xf>
    <xf numFmtId="9" fontId="45" fillId="4" borderId="2" xfId="0" applyNumberFormat="1" applyFont="1" applyFill="1" applyBorder="1" applyAlignment="1" applyProtection="1">
      <alignment horizontal="center" vertical="center" wrapText="1"/>
      <protection locked="0"/>
    </xf>
    <xf numFmtId="9" fontId="45" fillId="4" borderId="6" xfId="0" applyNumberFormat="1" applyFont="1" applyFill="1" applyBorder="1" applyAlignment="1" applyProtection="1">
      <alignment horizontal="center" vertical="center" wrapText="1"/>
      <protection locked="0"/>
    </xf>
    <xf numFmtId="4" fontId="45" fillId="4" borderId="4" xfId="0" applyNumberFormat="1" applyFont="1" applyFill="1" applyBorder="1" applyAlignment="1" applyProtection="1">
      <alignment horizontal="center" vertical="center" wrapText="1"/>
      <protection locked="0"/>
    </xf>
    <xf numFmtId="9" fontId="45" fillId="4" borderId="4" xfId="0" applyNumberFormat="1" applyFont="1" applyFill="1" applyBorder="1" applyAlignment="1" applyProtection="1">
      <alignment horizontal="center" vertical="center" wrapText="1"/>
      <protection locked="0"/>
    </xf>
    <xf numFmtId="9" fontId="45" fillId="4" borderId="10" xfId="0" applyNumberFormat="1" applyFont="1" applyFill="1" applyBorder="1" applyAlignment="1" applyProtection="1">
      <alignment horizontal="center" vertical="center" wrapText="1"/>
      <protection locked="0"/>
    </xf>
    <xf numFmtId="169" fontId="45" fillId="4" borderId="6" xfId="0" applyNumberFormat="1" applyFont="1" applyFill="1" applyBorder="1" applyAlignment="1" applyProtection="1">
      <alignment horizontal="center" vertical="center" wrapText="1"/>
      <protection locked="0"/>
    </xf>
    <xf numFmtId="169" fontId="45" fillId="4" borderId="2" xfId="0" applyNumberFormat="1" applyFont="1" applyFill="1" applyBorder="1" applyAlignment="1" applyProtection="1">
      <alignment horizontal="center" vertical="center" wrapText="1"/>
      <protection locked="0"/>
    </xf>
    <xf numFmtId="9" fontId="44" fillId="4" borderId="4" xfId="0" applyNumberFormat="1" applyFont="1" applyFill="1" applyBorder="1" applyAlignment="1" applyProtection="1">
      <alignment horizontal="center" vertical="center" wrapText="1"/>
      <protection locked="0"/>
    </xf>
    <xf numFmtId="9" fontId="44" fillId="4" borderId="10" xfId="0" applyNumberFormat="1" applyFont="1" applyFill="1" applyBorder="1" applyAlignment="1" applyProtection="1">
      <alignment horizontal="center" vertical="center" wrapText="1"/>
      <protection locked="0"/>
    </xf>
    <xf numFmtId="4" fontId="44" fillId="4" borderId="4" xfId="0" applyNumberFormat="1" applyFont="1" applyFill="1" applyBorder="1" applyAlignment="1" applyProtection="1">
      <alignment horizontal="center" vertical="center" wrapText="1"/>
      <protection locked="0"/>
    </xf>
    <xf numFmtId="2" fontId="24" fillId="0" borderId="2" xfId="0" applyNumberFormat="1" applyFont="1" applyBorder="1" applyAlignment="1">
      <alignment horizontal="center" vertical="center" wrapText="1"/>
    </xf>
    <xf numFmtId="0" fontId="46" fillId="0" borderId="2" xfId="0" applyFont="1" applyFill="1" applyBorder="1" applyAlignment="1" applyProtection="1">
      <alignment horizontal="left" vertical="center" wrapText="1"/>
      <protection locked="0"/>
    </xf>
    <xf numFmtId="0" fontId="26" fillId="3" borderId="0" xfId="0" applyFont="1" applyFill="1" applyBorder="1" applyAlignment="1">
      <alignment horizontal="justify" vertical="top" wrapText="1"/>
    </xf>
    <xf numFmtId="0" fontId="26" fillId="3" borderId="3"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6" fillId="3" borderId="0" xfId="0" applyFont="1" applyFill="1" applyBorder="1" applyAlignment="1">
      <alignment horizontal="left" vertical="top" wrapText="1"/>
    </xf>
    <xf numFmtId="0" fontId="42" fillId="3" borderId="5" xfId="0" applyFont="1" applyFill="1" applyBorder="1" applyAlignment="1" applyProtection="1">
      <alignment horizontal="left" vertical="top" wrapText="1"/>
      <protection locked="0"/>
    </xf>
    <xf numFmtId="0" fontId="42" fillId="3" borderId="3" xfId="0" applyFont="1" applyFill="1" applyBorder="1" applyAlignment="1" applyProtection="1">
      <alignment horizontal="left" vertical="top" wrapText="1"/>
      <protection locked="0"/>
    </xf>
    <xf numFmtId="0" fontId="42" fillId="3" borderId="4" xfId="0" applyFont="1" applyFill="1" applyBorder="1" applyAlignment="1" applyProtection="1">
      <alignment horizontal="left" vertical="top" wrapText="1"/>
      <protection locked="0"/>
    </xf>
    <xf numFmtId="0" fontId="26" fillId="3" borderId="5" xfId="0" applyFont="1" applyFill="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0" fontId="26" fillId="3" borderId="4" xfId="0" applyFont="1" applyFill="1" applyBorder="1" applyAlignment="1" applyProtection="1">
      <alignment horizontal="left" vertical="top" wrapText="1"/>
      <protection locked="0"/>
    </xf>
    <xf numFmtId="0" fontId="26" fillId="3" borderId="5" xfId="0" applyFont="1" applyFill="1" applyBorder="1" applyAlignment="1" applyProtection="1">
      <alignment vertical="center" wrapText="1"/>
      <protection locked="0"/>
    </xf>
    <xf numFmtId="0" fontId="26" fillId="3" borderId="3" xfId="0" applyFont="1" applyFill="1" applyBorder="1" applyAlignment="1" applyProtection="1">
      <alignment vertical="center" wrapText="1"/>
      <protection locked="0"/>
    </xf>
    <xf numFmtId="0" fontId="26" fillId="3" borderId="4" xfId="0" applyFont="1" applyFill="1" applyBorder="1" applyAlignment="1" applyProtection="1">
      <alignment vertical="center" wrapText="1"/>
      <protection locked="0"/>
    </xf>
    <xf numFmtId="0" fontId="26" fillId="3" borderId="5" xfId="0" applyFont="1" applyFill="1" applyBorder="1" applyAlignment="1" applyProtection="1">
      <alignment horizontal="justify" vertical="top" wrapText="1"/>
      <protection locked="0"/>
    </xf>
    <xf numFmtId="0" fontId="26" fillId="3" borderId="3" xfId="0" applyFont="1" applyFill="1" applyBorder="1" applyAlignment="1" applyProtection="1">
      <alignment horizontal="justify" vertical="top" wrapText="1"/>
      <protection locked="0"/>
    </xf>
    <xf numFmtId="0" fontId="26" fillId="3" borderId="4" xfId="0" applyFont="1" applyFill="1" applyBorder="1" applyAlignment="1" applyProtection="1">
      <alignment horizontal="justify" vertical="top" wrapText="1"/>
      <protection locked="0"/>
    </xf>
    <xf numFmtId="0" fontId="26" fillId="3" borderId="5" xfId="0" applyFont="1" applyFill="1" applyBorder="1" applyAlignment="1" applyProtection="1">
      <alignment horizontal="left" vertical="center" wrapText="1"/>
      <protection locked="0"/>
    </xf>
    <xf numFmtId="0" fontId="26" fillId="0" borderId="5" xfId="0" quotePrefix="1" applyFont="1" applyFill="1" applyBorder="1" applyAlignment="1" applyProtection="1">
      <alignment horizontal="left" vertical="top" wrapText="1"/>
      <protection locked="0"/>
    </xf>
    <xf numFmtId="0" fontId="26" fillId="0" borderId="3" xfId="0" quotePrefix="1" applyFont="1" applyFill="1" applyBorder="1" applyAlignment="1" applyProtection="1">
      <alignment horizontal="left" vertical="top" wrapText="1"/>
      <protection locked="0"/>
    </xf>
    <xf numFmtId="0" fontId="26" fillId="0" borderId="4" xfId="0" quotePrefix="1"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3" borderId="2" xfId="0" applyFont="1" applyFill="1" applyBorder="1" applyAlignment="1" applyProtection="1">
      <alignment horizontal="left" vertical="top" wrapText="1"/>
      <protection locked="0"/>
    </xf>
    <xf numFmtId="0" fontId="41" fillId="3" borderId="5" xfId="0" applyFont="1" applyFill="1" applyBorder="1" applyAlignment="1" applyProtection="1">
      <alignment horizontal="left" vertical="top" wrapText="1"/>
      <protection locked="0"/>
    </xf>
    <xf numFmtId="0" fontId="41" fillId="3" borderId="3" xfId="0" applyFont="1" applyFill="1" applyBorder="1" applyAlignment="1" applyProtection="1">
      <alignment horizontal="left" vertical="top" wrapText="1"/>
      <protection locked="0"/>
    </xf>
    <xf numFmtId="0" fontId="41" fillId="3" borderId="4" xfId="0" applyFont="1" applyFill="1" applyBorder="1" applyAlignment="1" applyProtection="1">
      <alignment horizontal="left" vertical="top" wrapText="1"/>
      <protection locked="0"/>
    </xf>
    <xf numFmtId="0" fontId="26" fillId="3" borderId="5" xfId="0" quotePrefix="1" applyFont="1" applyFill="1" applyBorder="1" applyAlignment="1" applyProtection="1">
      <alignment horizontal="left" vertical="top" wrapText="1"/>
      <protection locked="0"/>
    </xf>
    <xf numFmtId="0" fontId="26" fillId="3" borderId="3" xfId="0" quotePrefix="1" applyFont="1" applyFill="1" applyBorder="1" applyAlignment="1" applyProtection="1">
      <alignment horizontal="left" vertical="top" wrapText="1"/>
      <protection locked="0"/>
    </xf>
    <xf numFmtId="0" fontId="26" fillId="3" borderId="4" xfId="0" quotePrefix="1" applyFont="1" applyFill="1" applyBorder="1" applyAlignment="1" applyProtection="1">
      <alignment horizontal="left" vertical="top" wrapText="1"/>
      <protection locked="0"/>
    </xf>
    <xf numFmtId="49" fontId="26" fillId="3" borderId="5" xfId="0" applyNumberFormat="1" applyFont="1" applyFill="1" applyBorder="1" applyAlignment="1" applyProtection="1">
      <alignment horizontal="center" vertical="center" wrapText="1"/>
      <protection locked="0"/>
    </xf>
    <xf numFmtId="49" fontId="26" fillId="3" borderId="3" xfId="0" applyNumberFormat="1" applyFont="1" applyFill="1" applyBorder="1" applyAlignment="1" applyProtection="1">
      <alignment horizontal="center" vertical="center" wrapText="1"/>
      <protection locked="0"/>
    </xf>
    <xf numFmtId="49" fontId="26" fillId="3" borderId="4" xfId="0" applyNumberFormat="1"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3" borderId="2" xfId="0" applyFont="1" applyFill="1" applyBorder="1" applyAlignment="1" applyProtection="1">
      <alignment horizontal="left" vertical="center" wrapText="1"/>
      <protection locked="0"/>
    </xf>
    <xf numFmtId="0" fontId="36" fillId="3" borderId="5" xfId="0" applyFont="1" applyFill="1" applyBorder="1" applyAlignment="1" applyProtection="1">
      <alignment horizontal="left" vertical="top" wrapText="1"/>
      <protection locked="0"/>
    </xf>
    <xf numFmtId="0" fontId="36" fillId="3" borderId="3" xfId="0" applyFont="1" applyFill="1" applyBorder="1" applyAlignment="1" applyProtection="1">
      <alignment horizontal="left" vertical="top" wrapText="1"/>
      <protection locked="0"/>
    </xf>
    <xf numFmtId="0" fontId="36" fillId="3" borderId="4" xfId="0" applyFont="1" applyFill="1" applyBorder="1" applyAlignment="1" applyProtection="1">
      <alignment horizontal="left" vertical="top" wrapText="1"/>
      <protection locked="0"/>
    </xf>
    <xf numFmtId="0" fontId="36" fillId="3" borderId="2" xfId="0" applyFont="1" applyFill="1" applyBorder="1" applyAlignment="1" applyProtection="1">
      <alignment horizontal="left" vertical="top" wrapText="1"/>
      <protection locked="0"/>
    </xf>
    <xf numFmtId="165" fontId="26" fillId="3" borderId="2" xfId="0" quotePrefix="1" applyNumberFormat="1" applyFont="1" applyFill="1" applyBorder="1" applyAlignment="1" applyProtection="1">
      <alignment horizontal="center" vertical="center" wrapText="1"/>
      <protection locked="0"/>
    </xf>
    <xf numFmtId="0" fontId="26" fillId="3" borderId="2" xfId="0" applyFont="1" applyFill="1" applyBorder="1" applyAlignment="1" applyProtection="1">
      <alignment vertical="top" wrapText="1"/>
      <protection locked="0"/>
    </xf>
    <xf numFmtId="0" fontId="0" fillId="3" borderId="2" xfId="0" applyFont="1" applyFill="1" applyBorder="1" applyAlignment="1" applyProtection="1">
      <alignment vertical="top" wrapText="1"/>
      <protection locked="0"/>
    </xf>
    <xf numFmtId="0" fontId="26" fillId="3" borderId="2" xfId="0" applyFont="1" applyFill="1" applyBorder="1" applyAlignment="1" applyProtection="1">
      <alignment horizontal="center" vertical="center" wrapText="1"/>
      <protection locked="0"/>
    </xf>
    <xf numFmtId="4" fontId="26" fillId="3" borderId="5" xfId="0" applyNumberFormat="1" applyFont="1" applyFill="1" applyBorder="1" applyAlignment="1" applyProtection="1">
      <alignment horizontal="center" vertical="center" wrapText="1"/>
      <protection locked="0"/>
    </xf>
    <xf numFmtId="4" fontId="26" fillId="3" borderId="3" xfId="0" applyNumberFormat="1" applyFont="1" applyFill="1" applyBorder="1" applyAlignment="1" applyProtection="1">
      <alignment horizontal="center" vertical="center" wrapText="1"/>
      <protection locked="0"/>
    </xf>
    <xf numFmtId="4" fontId="26" fillId="3" borderId="4" xfId="0" applyNumberFormat="1" applyFont="1" applyFill="1" applyBorder="1" applyAlignment="1" applyProtection="1">
      <alignment horizontal="center" vertical="center" wrapText="1"/>
      <protection locked="0"/>
    </xf>
    <xf numFmtId="0" fontId="37" fillId="0" borderId="0" xfId="0" quotePrefix="1" applyFont="1" applyFill="1" applyBorder="1" applyAlignment="1" applyProtection="1">
      <alignment horizontal="center" vertical="center" wrapText="1"/>
      <protection locked="0"/>
    </xf>
    <xf numFmtId="165" fontId="26" fillId="3" borderId="6" xfId="0" applyNumberFormat="1" applyFont="1" applyFill="1" applyBorder="1" applyAlignment="1" applyProtection="1">
      <alignment horizontal="center" vertical="center" wrapText="1"/>
      <protection locked="0"/>
    </xf>
    <xf numFmtId="165" fontId="26" fillId="3" borderId="12" xfId="0" applyNumberFormat="1" applyFont="1" applyFill="1" applyBorder="1" applyAlignment="1" applyProtection="1">
      <alignment horizontal="center" vertical="center" wrapText="1"/>
      <protection locked="0"/>
    </xf>
    <xf numFmtId="165" fontId="26" fillId="3" borderId="8" xfId="0" applyNumberFormat="1" applyFont="1" applyFill="1" applyBorder="1" applyAlignment="1" applyProtection="1">
      <alignment horizontal="center" vertical="center" wrapText="1"/>
      <protection locked="0"/>
    </xf>
    <xf numFmtId="0" fontId="36" fillId="3" borderId="5" xfId="0" applyFont="1" applyFill="1" applyBorder="1" applyAlignment="1" applyProtection="1">
      <alignment horizontal="left" vertical="center" wrapText="1"/>
      <protection locked="0"/>
    </xf>
    <xf numFmtId="0" fontId="36" fillId="3" borderId="3"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protection locked="0"/>
    </xf>
    <xf numFmtId="165" fontId="26" fillId="3" borderId="2" xfId="0" applyNumberFormat="1" applyFont="1" applyFill="1" applyBorder="1" applyAlignment="1" applyProtection="1">
      <alignment horizontal="center" vertical="center" wrapText="1"/>
      <protection locked="0"/>
    </xf>
    <xf numFmtId="4" fontId="26" fillId="3" borderId="6" xfId="0" applyNumberFormat="1" applyFont="1" applyFill="1" applyBorder="1" applyAlignment="1" applyProtection="1">
      <alignment horizontal="center" vertical="center" wrapText="1"/>
      <protection locked="0"/>
    </xf>
    <xf numFmtId="4" fontId="26" fillId="3" borderId="2" xfId="0" applyNumberFormat="1" applyFont="1" applyFill="1" applyBorder="1" applyAlignment="1" applyProtection="1">
      <alignment horizontal="center" vertical="center" wrapText="1"/>
      <protection locked="0"/>
    </xf>
    <xf numFmtId="4" fontId="26" fillId="3" borderId="2" xfId="0" quotePrefix="1" applyNumberFormat="1" applyFont="1" applyFill="1" applyBorder="1" applyAlignment="1" applyProtection="1">
      <alignment horizontal="center" vertical="center" wrapText="1"/>
      <protection locked="0"/>
    </xf>
    <xf numFmtId="2" fontId="26" fillId="3" borderId="2" xfId="0" applyNumberFormat="1" applyFont="1" applyFill="1" applyBorder="1" applyAlignment="1" applyProtection="1">
      <alignment horizontal="center" vertical="center" wrapText="1"/>
      <protection locked="0"/>
    </xf>
    <xf numFmtId="2" fontId="26" fillId="3" borderId="5" xfId="0" applyNumberFormat="1" applyFont="1" applyFill="1" applyBorder="1" applyAlignment="1" applyProtection="1">
      <alignment horizontal="center" vertical="center" wrapText="1"/>
      <protection locked="0"/>
    </xf>
    <xf numFmtId="2" fontId="26" fillId="3" borderId="3" xfId="0" applyNumberFormat="1" applyFont="1" applyFill="1" applyBorder="1" applyAlignment="1" applyProtection="1">
      <alignment horizontal="center" vertical="center" wrapText="1"/>
      <protection locked="0"/>
    </xf>
    <xf numFmtId="2" fontId="26" fillId="3" borderId="4" xfId="0" applyNumberFormat="1" applyFont="1" applyFill="1" applyBorder="1" applyAlignment="1" applyProtection="1">
      <alignment horizontal="center" vertical="center" wrapText="1"/>
      <protection locked="0"/>
    </xf>
    <xf numFmtId="4" fontId="26" fillId="3" borderId="5" xfId="0" applyNumberFormat="1" applyFont="1" applyFill="1" applyBorder="1" applyAlignment="1" applyProtection="1">
      <alignment horizontal="left" vertical="top" wrapText="1"/>
      <protection locked="0"/>
    </xf>
    <xf numFmtId="0" fontId="26" fillId="3" borderId="2" xfId="0" quotePrefix="1" applyFont="1" applyFill="1" applyBorder="1" applyAlignment="1" applyProtection="1">
      <alignment horizontal="left" vertical="top" wrapText="1"/>
      <protection locked="0"/>
    </xf>
    <xf numFmtId="0" fontId="15" fillId="0" borderId="0" xfId="0" applyFont="1" applyAlignment="1">
      <alignment horizontal="center" vertical="center" wrapText="1"/>
    </xf>
    <xf numFmtId="166" fontId="24" fillId="0" borderId="2"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0" fontId="26" fillId="0" borderId="2" xfId="0" applyFont="1" applyBorder="1" applyAlignment="1">
      <alignment horizontal="left" vertical="center" wrapText="1"/>
    </xf>
    <xf numFmtId="4" fontId="24" fillId="0" borderId="6" xfId="0" applyNumberFormat="1" applyFont="1" applyBorder="1" applyAlignment="1">
      <alignment horizontal="center" vertical="center" wrapText="1"/>
    </xf>
    <xf numFmtId="4" fontId="24" fillId="0" borderId="12" xfId="0" applyNumberFormat="1" applyFont="1" applyBorder="1" applyAlignment="1">
      <alignment horizontal="center" vertical="center" wrapText="1"/>
    </xf>
    <xf numFmtId="4" fontId="24"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E1230"/>
  <sheetViews>
    <sheetView showZeros="0" tabSelected="1" showOutlineSymbols="0" view="pageBreakPreview" topLeftCell="A4" zoomScale="40" zoomScaleNormal="50" zoomScaleSheetLayoutView="40" workbookViewId="0">
      <pane xSplit="2" ySplit="7" topLeftCell="G29" activePane="bottomRight" state="frozen"/>
      <selection activeCell="A4" sqref="A4"/>
      <selection pane="topRight" activeCell="C4" sqref="C4"/>
      <selection pane="bottomLeft" activeCell="A11" sqref="A11"/>
      <selection pane="bottomRight" activeCell="B7" sqref="B7:B9"/>
    </sheetView>
  </sheetViews>
  <sheetFormatPr defaultRowHeight="23.25" outlineLevelRow="1" outlineLevelCol="2" x14ac:dyDescent="0.35"/>
  <cols>
    <col min="1" max="1" width="16" style="321" customWidth="1"/>
    <col min="2" max="2" width="77" style="99" customWidth="1"/>
    <col min="3" max="3" width="37.875" style="99" customWidth="1"/>
    <col min="4" max="4" width="25.25" style="99" hidden="1" customWidth="1"/>
    <col min="5" max="5" width="22.5" style="99" hidden="1" customWidth="1"/>
    <col min="6" max="6" width="24.125" style="99" hidden="1" customWidth="1"/>
    <col min="7" max="8" width="22.25" style="322" customWidth="1"/>
    <col min="9" max="9" width="20.125" style="323" customWidth="1" outlineLevel="2"/>
    <col min="10" max="10" width="19.75" style="324" customWidth="1" outlineLevel="2"/>
    <col min="11" max="11" width="20.75" style="322" customWidth="1" outlineLevel="2"/>
    <col min="12" max="12" width="22.625" style="324" customWidth="1" outlineLevel="2"/>
    <col min="13" max="13" width="20.125" style="324" customWidth="1" outlineLevel="2"/>
    <col min="14" max="14" width="24.125" style="325" customWidth="1" outlineLevel="2"/>
    <col min="15" max="15" width="21.375" style="325" customWidth="1" outlineLevel="2"/>
    <col min="16" max="16" width="23.75" style="325" customWidth="1" outlineLevel="2"/>
    <col min="17" max="18" width="23.75" style="325" hidden="1" customWidth="1" outlineLevel="2"/>
    <col min="19" max="19" width="110" style="28" customWidth="1"/>
    <col min="20" max="20" width="14.625" style="99" customWidth="1"/>
    <col min="21" max="21" width="19.625" style="99" customWidth="1"/>
    <col min="22" max="22" width="15.75" style="99" customWidth="1"/>
    <col min="23" max="83" width="9" style="99" customWidth="1"/>
    <col min="84" max="16384" width="9" style="99"/>
  </cols>
  <sheetData>
    <row r="1" spans="1:19" x14ac:dyDescent="0.35">
      <c r="A1" s="93"/>
      <c r="B1" s="94"/>
      <c r="C1" s="94"/>
      <c r="D1" s="94"/>
      <c r="E1" s="94"/>
      <c r="F1" s="94"/>
      <c r="G1" s="95"/>
      <c r="H1" s="95"/>
      <c r="I1" s="96"/>
      <c r="J1" s="97"/>
      <c r="K1" s="95"/>
      <c r="L1" s="97"/>
      <c r="M1" s="97"/>
      <c r="N1" s="98"/>
      <c r="O1" s="98"/>
      <c r="P1" s="98"/>
      <c r="Q1" s="98"/>
      <c r="R1" s="98"/>
    </row>
    <row r="2" spans="1:19" x14ac:dyDescent="0.35">
      <c r="A2" s="93"/>
      <c r="B2" s="94"/>
      <c r="C2" s="94"/>
      <c r="D2" s="94"/>
      <c r="E2" s="94"/>
      <c r="F2" s="94"/>
      <c r="G2" s="95"/>
      <c r="H2" s="95"/>
      <c r="I2" s="96"/>
      <c r="J2" s="97"/>
      <c r="K2" s="95"/>
      <c r="L2" s="97"/>
      <c r="M2" s="97"/>
      <c r="N2" s="98"/>
      <c r="O2" s="98"/>
      <c r="P2" s="98"/>
      <c r="Q2" s="98"/>
      <c r="R2" s="98"/>
    </row>
    <row r="3" spans="1:19" ht="21" customHeight="1" x14ac:dyDescent="0.35">
      <c r="A3" s="93"/>
      <c r="B3" s="94"/>
      <c r="C3" s="94"/>
      <c r="D3" s="94"/>
      <c r="E3" s="94"/>
      <c r="F3" s="94"/>
      <c r="G3" s="95"/>
      <c r="H3" s="95"/>
      <c r="I3" s="96"/>
      <c r="J3" s="97"/>
      <c r="K3" s="95"/>
      <c r="L3" s="97"/>
      <c r="M3" s="97"/>
      <c r="N3" s="98"/>
      <c r="O3" s="98"/>
      <c r="P3" s="98"/>
      <c r="Q3" s="98"/>
      <c r="R3" s="98"/>
    </row>
    <row r="4" spans="1:19" ht="5.25" customHeight="1" x14ac:dyDescent="0.35">
      <c r="A4" s="93"/>
      <c r="B4" s="94"/>
      <c r="C4" s="94"/>
      <c r="D4" s="94"/>
      <c r="E4" s="94"/>
      <c r="F4" s="94"/>
      <c r="G4" s="95"/>
      <c r="H4" s="95"/>
      <c r="I4" s="96"/>
      <c r="J4" s="97"/>
      <c r="K4" s="95"/>
      <c r="L4" s="97"/>
      <c r="M4" s="97"/>
      <c r="N4" s="98"/>
      <c r="O4" s="98"/>
      <c r="P4" s="98"/>
      <c r="Q4" s="98"/>
      <c r="R4" s="98"/>
    </row>
    <row r="5" spans="1:19" ht="72.75" customHeight="1" x14ac:dyDescent="0.35">
      <c r="A5" s="413" t="s">
        <v>411</v>
      </c>
      <c r="B5" s="413"/>
      <c r="C5" s="413"/>
      <c r="D5" s="413"/>
      <c r="E5" s="413"/>
      <c r="F5" s="413"/>
      <c r="G5" s="413"/>
      <c r="H5" s="413"/>
      <c r="I5" s="413"/>
      <c r="J5" s="413"/>
      <c r="K5" s="413"/>
      <c r="L5" s="413"/>
      <c r="M5" s="413"/>
      <c r="N5" s="413"/>
      <c r="O5" s="413"/>
      <c r="P5" s="413"/>
      <c r="Q5" s="413"/>
      <c r="R5" s="413"/>
      <c r="S5" s="413"/>
    </row>
    <row r="6" spans="1:19" s="94" customFormat="1" ht="27" customHeight="1" x14ac:dyDescent="0.4">
      <c r="A6" s="100"/>
      <c r="B6" s="101"/>
      <c r="C6" s="101"/>
      <c r="D6" s="100"/>
      <c r="E6" s="100"/>
      <c r="F6" s="100"/>
      <c r="G6" s="101"/>
      <c r="H6" s="101"/>
      <c r="I6" s="101"/>
      <c r="J6" s="101"/>
      <c r="K6" s="101"/>
      <c r="L6" s="102"/>
      <c r="M6" s="102"/>
      <c r="N6" s="103"/>
      <c r="O6" s="104"/>
      <c r="P6" s="104"/>
      <c r="Q6" s="104"/>
      <c r="R6" s="104"/>
      <c r="S6" s="105" t="s">
        <v>105</v>
      </c>
    </row>
    <row r="7" spans="1:19" s="107" customFormat="1" ht="71.25" customHeight="1" x14ac:dyDescent="0.25">
      <c r="A7" s="409" t="s">
        <v>6</v>
      </c>
      <c r="B7" s="409" t="s">
        <v>15</v>
      </c>
      <c r="C7" s="409" t="s">
        <v>7</v>
      </c>
      <c r="D7" s="410" t="s">
        <v>27</v>
      </c>
      <c r="E7" s="410" t="s">
        <v>28</v>
      </c>
      <c r="F7" s="410" t="s">
        <v>29</v>
      </c>
      <c r="G7" s="422" t="s">
        <v>498</v>
      </c>
      <c r="H7" s="422"/>
      <c r="I7" s="406" t="s">
        <v>412</v>
      </c>
      <c r="J7" s="406"/>
      <c r="K7" s="406"/>
      <c r="L7" s="406"/>
      <c r="M7" s="406"/>
      <c r="N7" s="424" t="s">
        <v>263</v>
      </c>
      <c r="O7" s="425" t="s">
        <v>256</v>
      </c>
      <c r="P7" s="425" t="s">
        <v>109</v>
      </c>
      <c r="Q7" s="106"/>
      <c r="R7" s="106"/>
      <c r="S7" s="409" t="s">
        <v>0</v>
      </c>
    </row>
    <row r="8" spans="1:19" s="107" customFormat="1" ht="60.75" customHeight="1" x14ac:dyDescent="0.25">
      <c r="A8" s="409"/>
      <c r="B8" s="409"/>
      <c r="C8" s="409"/>
      <c r="D8" s="411"/>
      <c r="E8" s="411"/>
      <c r="F8" s="411"/>
      <c r="G8" s="423" t="s">
        <v>219</v>
      </c>
      <c r="H8" s="421" t="s">
        <v>220</v>
      </c>
      <c r="I8" s="420" t="s">
        <v>14</v>
      </c>
      <c r="J8" s="420"/>
      <c r="K8" s="414" t="s">
        <v>13</v>
      </c>
      <c r="L8" s="415"/>
      <c r="M8" s="416"/>
      <c r="N8" s="424"/>
      <c r="O8" s="426"/>
      <c r="P8" s="426"/>
      <c r="Q8" s="108"/>
      <c r="R8" s="108"/>
      <c r="S8" s="409"/>
    </row>
    <row r="9" spans="1:19" s="107" customFormat="1" ht="115.5" customHeight="1" x14ac:dyDescent="0.25">
      <c r="A9" s="409"/>
      <c r="B9" s="409"/>
      <c r="C9" s="409"/>
      <c r="D9" s="412"/>
      <c r="E9" s="412"/>
      <c r="F9" s="412"/>
      <c r="G9" s="422"/>
      <c r="H9" s="421"/>
      <c r="I9" s="109" t="s">
        <v>1</v>
      </c>
      <c r="J9" s="110" t="s">
        <v>21</v>
      </c>
      <c r="K9" s="111" t="s">
        <v>16</v>
      </c>
      <c r="L9" s="112" t="s">
        <v>5</v>
      </c>
      <c r="M9" s="112" t="s">
        <v>4</v>
      </c>
      <c r="N9" s="424"/>
      <c r="O9" s="427"/>
      <c r="P9" s="427"/>
      <c r="Q9" s="113"/>
      <c r="R9" s="113"/>
      <c r="S9" s="409"/>
    </row>
    <row r="10" spans="1:19" s="122" customFormat="1" ht="32.25" customHeight="1" x14ac:dyDescent="0.25">
      <c r="A10" s="114">
        <v>1</v>
      </c>
      <c r="B10" s="114">
        <v>2</v>
      </c>
      <c r="C10" s="114">
        <v>3</v>
      </c>
      <c r="D10" s="115">
        <v>4</v>
      </c>
      <c r="E10" s="116">
        <v>5</v>
      </c>
      <c r="F10" s="116">
        <v>6</v>
      </c>
      <c r="G10" s="115">
        <v>4</v>
      </c>
      <c r="H10" s="116">
        <v>5</v>
      </c>
      <c r="I10" s="117">
        <v>6</v>
      </c>
      <c r="J10" s="115">
        <v>7</v>
      </c>
      <c r="K10" s="115">
        <v>8</v>
      </c>
      <c r="L10" s="118">
        <v>9</v>
      </c>
      <c r="M10" s="116">
        <v>10</v>
      </c>
      <c r="N10" s="119">
        <v>11</v>
      </c>
      <c r="O10" s="120">
        <v>12</v>
      </c>
      <c r="P10" s="121">
        <v>13</v>
      </c>
      <c r="Q10" s="121"/>
      <c r="R10" s="121"/>
      <c r="S10" s="119">
        <v>14</v>
      </c>
    </row>
    <row r="11" spans="1:19" s="128" customFormat="1" ht="32.25" customHeight="1" x14ac:dyDescent="0.25">
      <c r="A11" s="409"/>
      <c r="B11" s="417" t="s">
        <v>99</v>
      </c>
      <c r="C11" s="123" t="s">
        <v>12</v>
      </c>
      <c r="D11" s="79" t="e">
        <f>D12+D13+#REF!+D16</f>
        <v>#REF!</v>
      </c>
      <c r="E11" s="79" t="e">
        <f>E12+E13+#REF!+E16</f>
        <v>#REF!</v>
      </c>
      <c r="F11" s="79" t="e">
        <f>F12+F13+#REF!+#REF!+F16</f>
        <v>#REF!</v>
      </c>
      <c r="G11" s="79">
        <f>G12+G13+G16+G14+G15</f>
        <v>11671807</v>
      </c>
      <c r="H11" s="79">
        <f>H12+H13+H16+H14+H15</f>
        <v>12135010.15</v>
      </c>
      <c r="I11" s="79">
        <f>I12+I13+I16+I14+I15</f>
        <v>4681050.84</v>
      </c>
      <c r="J11" s="124">
        <f>I11/H11</f>
        <v>0.39</v>
      </c>
      <c r="K11" s="79">
        <f>K12+K13+K16+K14+K15</f>
        <v>4482401.26</v>
      </c>
      <c r="L11" s="125">
        <f>K11/H11</f>
        <v>0.37</v>
      </c>
      <c r="M11" s="124">
        <f>K11/I11</f>
        <v>0.96</v>
      </c>
      <c r="N11" s="79">
        <f>N12+N13+N16+N14+N15</f>
        <v>12047296.310000001</v>
      </c>
      <c r="O11" s="79">
        <f>O12+O13+O16+O14+O15</f>
        <v>83433.52</v>
      </c>
      <c r="P11" s="125">
        <f>N11/H11</f>
        <v>0.99</v>
      </c>
      <c r="Q11" s="126"/>
      <c r="R11" s="126"/>
      <c r="S11" s="127"/>
    </row>
    <row r="12" spans="1:19" s="132" customFormat="1" ht="38.25" customHeight="1" x14ac:dyDescent="0.25">
      <c r="A12" s="409"/>
      <c r="B12" s="418"/>
      <c r="C12" s="75" t="s">
        <v>10</v>
      </c>
      <c r="D12" s="79" t="e">
        <f>D268+D18+D412+#REF!+#REF!+#REF!+#REF!+#REF!+#REF!+#REF!+#REF!+#REF!+#REF!+#REF!+#REF!+#REF!+#REF!+#REF!+#REF!+#REF!+#REF!+#REF!</f>
        <v>#REF!</v>
      </c>
      <c r="E12" s="79" t="e">
        <f>E268+E18+E412+#REF!+#REF!+#REF!+#REF!+#REF!+#REF!+#REF!+#REF!+#REF!+#REF!+#REF!+#REF!+#REF!+#REF!+#REF!+#REF!+#REF!+#REF!+#REF!</f>
        <v>#REF!</v>
      </c>
      <c r="F12" s="79" t="e">
        <f>F268+F18+F412+#REF!+#REF!+#REF!+#REF!+#REF!+#REF!+#REF!+#REF!+#REF!+#REF!+#REF!+#REF!+#REF!+#REF!+#REF!+#REF!+#REF!+#REF!+#REF!</f>
        <v>#REF!</v>
      </c>
      <c r="G12" s="79">
        <f t="shared" ref="G12:I16" si="0">G298+G214+G610+G490+G682+G36+G150+G268+G400+G670+G676+G790+G796+G932+G980+G376+G18+G412+G998</f>
        <v>33969.800000000003</v>
      </c>
      <c r="H12" s="79">
        <f t="shared" si="0"/>
        <v>37443.129999999997</v>
      </c>
      <c r="I12" s="79">
        <f t="shared" si="0"/>
        <v>24168.71</v>
      </c>
      <c r="J12" s="124">
        <f t="shared" ref="J12:J16" si="1">I12/H12</f>
        <v>0.65</v>
      </c>
      <c r="K12" s="79">
        <f>K298+K214+K610+K490+K682+K36+K150+K268+K400+K670+K676+K790+K796+K932+K980+K376+K18+K412+K998</f>
        <v>11797.29</v>
      </c>
      <c r="L12" s="129">
        <f t="shared" ref="L12:L16" si="2">K12/H12</f>
        <v>0.315</v>
      </c>
      <c r="M12" s="124">
        <f>K12/I12</f>
        <v>0.49</v>
      </c>
      <c r="N12" s="79">
        <f>N298+N214+N610+N490+N682+N36+N150+N268+N400+N670+N676+N790+N796+N932+N980+N376+N18+N412+N998</f>
        <v>37443.129999999997</v>
      </c>
      <c r="O12" s="79">
        <f>O298+O214+O610+O490+O682+O36+O150+O268+O400+O670+O676+O790+O796+O932+O980+O376+O18+O412</f>
        <v>0</v>
      </c>
      <c r="P12" s="125">
        <f t="shared" ref="P12:P16" si="3">N12/H12</f>
        <v>1</v>
      </c>
      <c r="Q12" s="130"/>
      <c r="R12" s="130"/>
      <c r="S12" s="131"/>
    </row>
    <row r="13" spans="1:19" s="132" customFormat="1" ht="38.25" customHeight="1" x14ac:dyDescent="0.25">
      <c r="A13" s="409"/>
      <c r="B13" s="418"/>
      <c r="C13" s="75" t="s">
        <v>26</v>
      </c>
      <c r="D13" s="79" t="e">
        <f>D269++D19+D413+#REF!+#REF!+#REF!+#REF!+#REF!+#REF!+#REF!+#REF!+#REF!+#REF!+#REF!+#REF!+#REF!+#REF!+#REF!+#REF!+#REF!+#REF!+#REF!</f>
        <v>#REF!</v>
      </c>
      <c r="E13" s="79" t="e">
        <f>E269++E19+E413+#REF!+#REF!+#REF!+#REF!+#REF!+#REF!+#REF!+#REF!+#REF!+#REF!+#REF!+#REF!+#REF!+#REF!+#REF!+#REF!+#REF!+#REF!+#REF!</f>
        <v>#REF!</v>
      </c>
      <c r="F13" s="79" t="e">
        <f>F269++F19+F413+#REF!+#REF!+#REF!+#REF!+#REF!+#REF!+#REF!+#REF!+#REF!+#REF!+#REF!+#REF!+#REF!+#REF!+#REF!+#REF!+#REF!+#REF!+#REF!</f>
        <v>#REF!</v>
      </c>
      <c r="G13" s="79">
        <f t="shared" si="0"/>
        <v>11240301.039999999</v>
      </c>
      <c r="H13" s="79">
        <f t="shared" si="0"/>
        <v>11700030.859999999</v>
      </c>
      <c r="I13" s="79">
        <f t="shared" si="0"/>
        <v>4515913.93</v>
      </c>
      <c r="J13" s="124">
        <f t="shared" si="1"/>
        <v>0.39</v>
      </c>
      <c r="K13" s="79">
        <f>K299+K215+K611+K491+K683+K37+K151+K269+K401+K671+K677+K791+K797+K933+K981+K377+K19+K413+K999</f>
        <v>4329635.7699999996</v>
      </c>
      <c r="L13" s="125">
        <f t="shared" si="2"/>
        <v>0.37</v>
      </c>
      <c r="M13" s="124">
        <f t="shared" ref="M13:M16" si="4">K13/I13</f>
        <v>0.96</v>
      </c>
      <c r="N13" s="79">
        <f>N299+N215+N611+N491+N683+N37+N151+N269+N401+N671+N677+N791+N797+N933+N981+N377+N19+N413+N999</f>
        <v>11615650.279999999</v>
      </c>
      <c r="O13" s="79">
        <f>O299+O215+O611+O491+O683+O37+O151+O269+O401+O671+O677+O791+O797+O933+O981+O377+O19+O413</f>
        <v>80310.77</v>
      </c>
      <c r="P13" s="125">
        <f t="shared" si="3"/>
        <v>0.99</v>
      </c>
      <c r="Q13" s="133"/>
      <c r="R13" s="133"/>
      <c r="S13" s="131"/>
    </row>
    <row r="14" spans="1:19" s="132" customFormat="1" ht="38.25" customHeight="1" x14ac:dyDescent="0.25">
      <c r="A14" s="409"/>
      <c r="B14" s="418"/>
      <c r="C14" s="75" t="s">
        <v>19</v>
      </c>
      <c r="D14" s="79" t="e">
        <f>D20+D414+#REF!+#REF!+#REF!+#REF!+#REF!+#REF!+#REF!+#REF!+#REF!+#REF!+#REF!+#REF!+#REF!+#REF!+#REF!+#REF!+D270+#REF!+#REF!+#REF!+#REF!</f>
        <v>#REF!</v>
      </c>
      <c r="E14" s="79" t="e">
        <f>E20+E414+#REF!+#REF!+#REF!+#REF!+#REF!+#REF!+#REF!+#REF!+#REF!+#REF!+#REF!+#REF!+#REF!+#REF!+#REF!+#REF!+E270+#REF!+#REF!+#REF!+#REF!</f>
        <v>#REF!</v>
      </c>
      <c r="F14" s="79" t="e">
        <f>F20+F414+#REF!+#REF!+#REF!+#REF!+#REF!+#REF!+#REF!+#REF!+#REF!+#REF!+#REF!+#REF!+#REF!+#REF!+#REF!+#REF!+F270+#REF!+#REF!+#REF!+#REF!</f>
        <v>#REF!</v>
      </c>
      <c r="G14" s="79">
        <f t="shared" si="0"/>
        <v>295985.15999999997</v>
      </c>
      <c r="H14" s="79">
        <f t="shared" si="0"/>
        <v>296138.76</v>
      </c>
      <c r="I14" s="79">
        <f t="shared" si="0"/>
        <v>132610.63</v>
      </c>
      <c r="J14" s="124">
        <f t="shared" si="1"/>
        <v>0.45</v>
      </c>
      <c r="K14" s="79">
        <f>K300+K216+K612+K492+K684+K38+K152+K270+K402+K672+K678+K792+K798+K934+K982+K378+K20+K414+K1000</f>
        <v>132610.63</v>
      </c>
      <c r="L14" s="134">
        <f>K14/H14</f>
        <v>0.44779999999999998</v>
      </c>
      <c r="M14" s="124">
        <f t="shared" ref="M14" si="5">K14/I14</f>
        <v>1</v>
      </c>
      <c r="N14" s="79">
        <f>N300+N216+N612+N492+N684+N38+N152+N270+N402+N672+N678+N792+N798+N934+N982+N378+N20+N414+N1000</f>
        <v>292805.5</v>
      </c>
      <c r="O14" s="79">
        <f>O300+O216+O612+O492+O684+O38+O152+O270+O402+O672+O678+O792+O798+O934+O982+O378+O20+O414</f>
        <v>3122.75</v>
      </c>
      <c r="P14" s="125">
        <f t="shared" si="3"/>
        <v>0.99</v>
      </c>
      <c r="Q14" s="130"/>
      <c r="R14" s="130"/>
      <c r="S14" s="131"/>
    </row>
    <row r="15" spans="1:19" s="132" customFormat="1" ht="51" customHeight="1" x14ac:dyDescent="0.25">
      <c r="A15" s="409"/>
      <c r="B15" s="418"/>
      <c r="C15" s="75" t="s">
        <v>22</v>
      </c>
      <c r="D15" s="79" t="e">
        <f>D21+D415+#REF!+#REF!+#REF!+#REF!+#REF!+#REF!+#REF!+#REF!+#REF!+#REF!+#REF!+#REF!+#REF!+#REF!+#REF!+#REF!+D271+#REF!+#REF!+#REF!+#REF!</f>
        <v>#REF!</v>
      </c>
      <c r="E15" s="79" t="e">
        <f>E21+E415+#REF!+#REF!+#REF!+#REF!+#REF!+#REF!+#REF!+#REF!+#REF!+#REF!+#REF!+#REF!+#REF!+#REF!+#REF!+#REF!+E271+#REF!+#REF!+#REF!+#REF!</f>
        <v>#REF!</v>
      </c>
      <c r="F15" s="79" t="e">
        <f>F21+F415+#REF!+#REF!+#REF!+#REF!+#REF!+#REF!+#REF!+#REF!+#REF!+#REF!+#REF!+#REF!+#REF!+#REF!+#REF!+#REF!+F271+#REF!+#REF!+#REF!+#REF!</f>
        <v>#REF!</v>
      </c>
      <c r="G15" s="79">
        <f t="shared" si="0"/>
        <v>42019.39</v>
      </c>
      <c r="H15" s="79">
        <f t="shared" si="0"/>
        <v>41865.79</v>
      </c>
      <c r="I15" s="79">
        <f t="shared" si="0"/>
        <v>8226.11</v>
      </c>
      <c r="J15" s="124">
        <f t="shared" si="1"/>
        <v>0.2</v>
      </c>
      <c r="K15" s="79">
        <f>K301+K217+K613+K493+K685+K39+K153+K271+K403+K673+K679+K793+K799+K935+K983+K379+K21+K415+K1001</f>
        <v>8226.11</v>
      </c>
      <c r="L15" s="125">
        <f t="shared" si="2"/>
        <v>0.2</v>
      </c>
      <c r="M15" s="124">
        <f t="shared" si="4"/>
        <v>1</v>
      </c>
      <c r="N15" s="79">
        <f>N301+N217+N613+N493+N685+N39+N153+N271+N403+N673+N679+N793+N799+N935+N983+N379+N21+N415+N1001</f>
        <v>41865.79</v>
      </c>
      <c r="O15" s="79">
        <f>O301+O217+O613+O493+O685+O39+O153+O271+O403+O673+O679+O793+O799+O935+O983+O379+O21+O415</f>
        <v>0</v>
      </c>
      <c r="P15" s="125">
        <f t="shared" si="3"/>
        <v>1</v>
      </c>
      <c r="Q15" s="130"/>
      <c r="R15" s="130"/>
      <c r="S15" s="131"/>
    </row>
    <row r="16" spans="1:19" s="132" customFormat="1" ht="38.25" customHeight="1" x14ac:dyDescent="0.25">
      <c r="A16" s="409"/>
      <c r="B16" s="419"/>
      <c r="C16" s="75" t="s">
        <v>11</v>
      </c>
      <c r="D16" s="79" t="e">
        <f>D22+D416+#REF!+#REF!+#REF!+#REF!+#REF!+#REF!+#REF!+#REF!+#REF!+#REF!+#REF!+#REF!+#REF!+#REF!+#REF!+#REF!+D272+#REF!+#REF!</f>
        <v>#REF!</v>
      </c>
      <c r="E16" s="79" t="e">
        <f>E22+E416+#REF!+#REF!+#REF!+#REF!+#REF!+#REF!+#REF!+#REF!+#REF!+#REF!+#REF!+#REF!+#REF!+#REF!+#REF!+#REF!+E272+#REF!+#REF!</f>
        <v>#REF!</v>
      </c>
      <c r="F16" s="79" t="e">
        <f>F22+F416+#REF!+#REF!+#REF!+#REF!+#REF!+#REF!+#REF!+#REF!+#REF!+#REF!+#REF!+#REF!+#REF!+#REF!+#REF!+#REF!+F272+#REF!+#REF!</f>
        <v>#REF!</v>
      </c>
      <c r="G16" s="79">
        <f t="shared" si="0"/>
        <v>59531.61</v>
      </c>
      <c r="H16" s="79">
        <f t="shared" si="0"/>
        <v>59531.61</v>
      </c>
      <c r="I16" s="79">
        <f t="shared" si="0"/>
        <v>131.46</v>
      </c>
      <c r="J16" s="124">
        <f t="shared" si="1"/>
        <v>0</v>
      </c>
      <c r="K16" s="79">
        <f>K302+K218+K614+K494+K686+K40+K154+K272+K404+K674+K680+K794+K800+K936+K984+K380+K22+K416+K1002</f>
        <v>131.46</v>
      </c>
      <c r="L16" s="125">
        <f t="shared" si="2"/>
        <v>0</v>
      </c>
      <c r="M16" s="124">
        <f t="shared" si="4"/>
        <v>1</v>
      </c>
      <c r="N16" s="79">
        <f>N302+N218+N614+N494+N686+N40+N154+N272+N404+N674+N680+N794+N800+N936+N984+N380+N22+N416+N1002</f>
        <v>59531.61</v>
      </c>
      <c r="O16" s="79">
        <f t="shared" ref="O16" si="6">O494</f>
        <v>0</v>
      </c>
      <c r="P16" s="125">
        <f t="shared" si="3"/>
        <v>1</v>
      </c>
      <c r="Q16" s="135"/>
      <c r="R16" s="135"/>
      <c r="S16" s="136"/>
    </row>
    <row r="17" spans="1:19" s="142" customFormat="1" ht="67.5" x14ac:dyDescent="0.25">
      <c r="A17" s="137" t="s">
        <v>112</v>
      </c>
      <c r="B17" s="138" t="s">
        <v>275</v>
      </c>
      <c r="C17" s="138" t="s">
        <v>9</v>
      </c>
      <c r="D17" s="139" t="e">
        <f t="shared" ref="D17:H17" si="7">SUM(D18:D22)</f>
        <v>#REF!</v>
      </c>
      <c r="E17" s="139" t="e">
        <f t="shared" si="7"/>
        <v>#REF!</v>
      </c>
      <c r="F17" s="139" t="e">
        <f t="shared" si="7"/>
        <v>#REF!</v>
      </c>
      <c r="G17" s="139">
        <f t="shared" si="7"/>
        <v>162038.70000000001</v>
      </c>
      <c r="H17" s="139">
        <f t="shared" si="7"/>
        <v>162038.70000000001</v>
      </c>
      <c r="I17" s="139">
        <f t="shared" ref="I17:K17" si="8">SUM(I18:I22)</f>
        <v>53252.6</v>
      </c>
      <c r="J17" s="140">
        <f>I17/H17</f>
        <v>0.33</v>
      </c>
      <c r="K17" s="139">
        <f t="shared" si="8"/>
        <v>53252.6</v>
      </c>
      <c r="L17" s="141">
        <f>K17/H17</f>
        <v>0.33</v>
      </c>
      <c r="M17" s="141">
        <f>K17/I17</f>
        <v>1</v>
      </c>
      <c r="N17" s="139">
        <f t="shared" ref="N17" si="9">SUM(N18:N22)</f>
        <v>154386.63</v>
      </c>
      <c r="O17" s="139">
        <f>H17-N17</f>
        <v>7652.07</v>
      </c>
      <c r="P17" s="141">
        <f t="shared" ref="P17:P74" si="10">N17/H17</f>
        <v>0.95</v>
      </c>
      <c r="Q17" s="126"/>
      <c r="R17" s="126"/>
      <c r="S17" s="372" t="s">
        <v>330</v>
      </c>
    </row>
    <row r="18" spans="1:19" s="150" customFormat="1" x14ac:dyDescent="0.25">
      <c r="A18" s="143"/>
      <c r="B18" s="144" t="s">
        <v>10</v>
      </c>
      <c r="C18" s="145"/>
      <c r="D18" s="146" t="e">
        <f>D24+D30+#REF!+#REF!+#REF!+#REF!+#REF!+#REF!+#REF!</f>
        <v>#REF!</v>
      </c>
      <c r="E18" s="146" t="e">
        <f>E24+E30+#REF!+#REF!+#REF!+#REF!+#REF!+#REF!+#REF!</f>
        <v>#REF!</v>
      </c>
      <c r="F18" s="146" t="e">
        <f>F24+F30+#REF!+#REF!+#REF!+#REF!+#REF!+#REF!+#REF!</f>
        <v>#REF!</v>
      </c>
      <c r="G18" s="352">
        <f>G24</f>
        <v>0</v>
      </c>
      <c r="H18" s="352">
        <f t="shared" ref="H18" si="11">H24</f>
        <v>0</v>
      </c>
      <c r="I18" s="352">
        <f t="shared" ref="I18:K18" si="12">I24</f>
        <v>0</v>
      </c>
      <c r="J18" s="353" t="e">
        <f t="shared" ref="J18" si="13">I18/H18</f>
        <v>#DIV/0!</v>
      </c>
      <c r="K18" s="352">
        <f t="shared" si="12"/>
        <v>0</v>
      </c>
      <c r="L18" s="354" t="e">
        <f t="shared" ref="L18" si="14">K18/H18</f>
        <v>#DIV/0!</v>
      </c>
      <c r="M18" s="354" t="e">
        <f t="shared" ref="M18" si="15">K18/I18</f>
        <v>#DIV/0!</v>
      </c>
      <c r="N18" s="352">
        <f t="shared" ref="N18" si="16">N24</f>
        <v>0</v>
      </c>
      <c r="O18" s="352">
        <f t="shared" ref="O18:O28" si="17">H18-N18</f>
        <v>0</v>
      </c>
      <c r="P18" s="354" t="e">
        <f t="shared" si="10"/>
        <v>#DIV/0!</v>
      </c>
      <c r="Q18" s="149"/>
      <c r="R18" s="149"/>
      <c r="S18" s="373"/>
    </row>
    <row r="19" spans="1:19" s="150" customFormat="1" x14ac:dyDescent="0.25">
      <c r="A19" s="143"/>
      <c r="B19" s="144" t="s">
        <v>8</v>
      </c>
      <c r="C19" s="145"/>
      <c r="D19" s="146" t="e">
        <f>D25+D31+#REF!+#REF!+#REF!+#REF!+#REF!+#REF!+#REF!</f>
        <v>#REF!</v>
      </c>
      <c r="E19" s="146" t="e">
        <f>E25+E31+#REF!+#REF!+#REF!+#REF!+#REF!+#REF!+#REF!</f>
        <v>#REF!</v>
      </c>
      <c r="F19" s="146" t="e">
        <f>F25+F31+#REF!+#REF!+#REF!+#REF!+#REF!+#REF!+#REF!</f>
        <v>#REF!</v>
      </c>
      <c r="G19" s="146">
        <f t="shared" ref="G19:H19" si="18">G25</f>
        <v>162038.70000000001</v>
      </c>
      <c r="H19" s="146">
        <f t="shared" si="18"/>
        <v>162038.70000000001</v>
      </c>
      <c r="I19" s="146">
        <f t="shared" ref="I19:K19" si="19">I25</f>
        <v>53252.6</v>
      </c>
      <c r="J19" s="147">
        <f>I19/H19</f>
        <v>0.33</v>
      </c>
      <c r="K19" s="146">
        <f t="shared" si="19"/>
        <v>53252.6</v>
      </c>
      <c r="L19" s="148">
        <f>K19/H19</f>
        <v>0.33</v>
      </c>
      <c r="M19" s="148">
        <f>K19/I19</f>
        <v>1</v>
      </c>
      <c r="N19" s="146">
        <f t="shared" ref="N19" si="20">N25</f>
        <v>154386.63</v>
      </c>
      <c r="O19" s="146">
        <f>H19-N19</f>
        <v>7652.07</v>
      </c>
      <c r="P19" s="148">
        <f t="shared" si="10"/>
        <v>0.95</v>
      </c>
      <c r="Q19" s="149"/>
      <c r="R19" s="149"/>
      <c r="S19" s="373"/>
    </row>
    <row r="20" spans="1:19" s="150" customFormat="1" x14ac:dyDescent="0.25">
      <c r="A20" s="143"/>
      <c r="B20" s="144" t="s">
        <v>20</v>
      </c>
      <c r="C20" s="145"/>
      <c r="D20" s="146" t="e">
        <f>D26+D32+#REF!+#REF!+#REF!+#REF!+#REF!+#REF!+#REF!</f>
        <v>#REF!</v>
      </c>
      <c r="E20" s="146" t="e">
        <f>E26+E32+#REF!+#REF!+#REF!+#REF!+#REF!+#REF!+#REF!</f>
        <v>#REF!</v>
      </c>
      <c r="F20" s="146" t="e">
        <f>F26+F32+#REF!+#REF!+#REF!+#REF!+#REF!+#REF!+#REF!</f>
        <v>#REF!</v>
      </c>
      <c r="G20" s="352">
        <f t="shared" ref="G20:H20" si="21">G26</f>
        <v>0</v>
      </c>
      <c r="H20" s="352">
        <f t="shared" si="21"/>
        <v>0</v>
      </c>
      <c r="I20" s="352">
        <f t="shared" ref="I20:K20" si="22">I26</f>
        <v>0</v>
      </c>
      <c r="J20" s="353" t="e">
        <f t="shared" ref="J20:J22" si="23">I20/H20</f>
        <v>#DIV/0!</v>
      </c>
      <c r="K20" s="352">
        <f t="shared" si="22"/>
        <v>0</v>
      </c>
      <c r="L20" s="354" t="e">
        <f t="shared" ref="L20:L22" si="24">K20/H20</f>
        <v>#DIV/0!</v>
      </c>
      <c r="M20" s="354" t="e">
        <f t="shared" ref="M20:M22" si="25">K20/I20</f>
        <v>#DIV/0!</v>
      </c>
      <c r="N20" s="352">
        <f t="shared" ref="N20" si="26">N26</f>
        <v>0</v>
      </c>
      <c r="O20" s="352">
        <f t="shared" si="17"/>
        <v>0</v>
      </c>
      <c r="P20" s="354" t="e">
        <f t="shared" si="10"/>
        <v>#DIV/0!</v>
      </c>
      <c r="Q20" s="149"/>
      <c r="R20" s="149"/>
      <c r="S20" s="373"/>
    </row>
    <row r="21" spans="1:19" s="150" customFormat="1" x14ac:dyDescent="0.25">
      <c r="A21" s="143"/>
      <c r="B21" s="144" t="s">
        <v>22</v>
      </c>
      <c r="C21" s="145"/>
      <c r="D21" s="146" t="e">
        <f>D27+D33+#REF!+#REF!+#REF!+#REF!+#REF!</f>
        <v>#REF!</v>
      </c>
      <c r="E21" s="146" t="e">
        <f>E27+E33+#REF!+#REF!+#REF!+#REF!+#REF!</f>
        <v>#REF!</v>
      </c>
      <c r="F21" s="146" t="e">
        <f>F27+F33+#REF!+#REF!+#REF!+#REF!+#REF!</f>
        <v>#REF!</v>
      </c>
      <c r="G21" s="352">
        <f t="shared" ref="G21:H21" si="27">G27</f>
        <v>0</v>
      </c>
      <c r="H21" s="352">
        <f t="shared" si="27"/>
        <v>0</v>
      </c>
      <c r="I21" s="352">
        <f t="shared" ref="I21:K21" si="28">I27</f>
        <v>0</v>
      </c>
      <c r="J21" s="353" t="e">
        <f t="shared" si="23"/>
        <v>#DIV/0!</v>
      </c>
      <c r="K21" s="352">
        <f t="shared" si="28"/>
        <v>0</v>
      </c>
      <c r="L21" s="354" t="e">
        <f t="shared" si="24"/>
        <v>#DIV/0!</v>
      </c>
      <c r="M21" s="354" t="e">
        <f t="shared" si="25"/>
        <v>#DIV/0!</v>
      </c>
      <c r="N21" s="352"/>
      <c r="O21" s="352">
        <f t="shared" si="17"/>
        <v>0</v>
      </c>
      <c r="P21" s="354" t="e">
        <f t="shared" si="10"/>
        <v>#DIV/0!</v>
      </c>
      <c r="Q21" s="149"/>
      <c r="R21" s="149"/>
      <c r="S21" s="373"/>
    </row>
    <row r="22" spans="1:19" s="150" customFormat="1" collapsed="1" x14ac:dyDescent="0.25">
      <c r="A22" s="151"/>
      <c r="B22" s="144" t="s">
        <v>11</v>
      </c>
      <c r="C22" s="145"/>
      <c r="D22" s="146" t="e">
        <f>D28+D34+#REF!+#REF!+#REF!+#REF!+#REF!</f>
        <v>#REF!</v>
      </c>
      <c r="E22" s="146" t="e">
        <f>E28+E34+#REF!+#REF!+#REF!+#REF!+#REF!</f>
        <v>#REF!</v>
      </c>
      <c r="F22" s="146" t="e">
        <f>F28+F34+#REF!+#REF!+#REF!+#REF!+#REF!</f>
        <v>#REF!</v>
      </c>
      <c r="G22" s="352">
        <f t="shared" ref="G22:H22" si="29">G28</f>
        <v>0</v>
      </c>
      <c r="H22" s="352">
        <f t="shared" si="29"/>
        <v>0</v>
      </c>
      <c r="I22" s="352">
        <f t="shared" ref="I22:K22" si="30">I28</f>
        <v>0</v>
      </c>
      <c r="J22" s="353" t="e">
        <f t="shared" si="23"/>
        <v>#DIV/0!</v>
      </c>
      <c r="K22" s="352">
        <f t="shared" si="30"/>
        <v>0</v>
      </c>
      <c r="L22" s="354" t="e">
        <f t="shared" si="24"/>
        <v>#DIV/0!</v>
      </c>
      <c r="M22" s="354" t="e">
        <f t="shared" si="25"/>
        <v>#DIV/0!</v>
      </c>
      <c r="N22" s="352">
        <f t="shared" ref="N22" si="31">N28</f>
        <v>0</v>
      </c>
      <c r="O22" s="352">
        <f t="shared" si="17"/>
        <v>0</v>
      </c>
      <c r="P22" s="354" t="e">
        <f t="shared" si="10"/>
        <v>#DIV/0!</v>
      </c>
      <c r="Q22" s="84"/>
      <c r="R22" s="84"/>
      <c r="S22" s="374"/>
    </row>
    <row r="23" spans="1:19" s="158" customFormat="1" ht="54.75" customHeight="1" x14ac:dyDescent="0.25">
      <c r="A23" s="152" t="s">
        <v>87</v>
      </c>
      <c r="B23" s="153" t="s">
        <v>30</v>
      </c>
      <c r="C23" s="154" t="s">
        <v>2</v>
      </c>
      <c r="D23" s="155" t="e">
        <f>D24+D25+D26+D27+#REF!+D28</f>
        <v>#REF!</v>
      </c>
      <c r="E23" s="155" t="e">
        <f>E24+E25+E26+E27+#REF!+E28</f>
        <v>#REF!</v>
      </c>
      <c r="F23" s="155" t="e">
        <f>F24+F25+F26+F27+#REF!+F28</f>
        <v>#REF!</v>
      </c>
      <c r="G23" s="155">
        <f>SUM(G24:G28)</f>
        <v>162038.70000000001</v>
      </c>
      <c r="H23" s="155">
        <f t="shared" ref="H23" si="32">SUM(H24:H28)</f>
        <v>162038.70000000001</v>
      </c>
      <c r="I23" s="155">
        <f t="shared" ref="I23:K23" si="33">SUM(I24:I28)</f>
        <v>53252.6</v>
      </c>
      <c r="J23" s="156">
        <f>I23/H23</f>
        <v>0.33</v>
      </c>
      <c r="K23" s="155">
        <f t="shared" si="33"/>
        <v>53252.6</v>
      </c>
      <c r="L23" s="72">
        <f>K23/H23</f>
        <v>0.33</v>
      </c>
      <c r="M23" s="73">
        <f>K23/I23</f>
        <v>1</v>
      </c>
      <c r="N23" s="155">
        <f t="shared" ref="N23" si="34">SUM(N24:N28)</f>
        <v>154386.63</v>
      </c>
      <c r="O23" s="155">
        <f t="shared" si="17"/>
        <v>7652.07</v>
      </c>
      <c r="P23" s="72">
        <f t="shared" si="10"/>
        <v>0.95</v>
      </c>
      <c r="Q23" s="157"/>
      <c r="R23" s="157"/>
      <c r="S23" s="372"/>
    </row>
    <row r="24" spans="1:19" s="107" customFormat="1" ht="55.5" customHeight="1" x14ac:dyDescent="0.25">
      <c r="A24" s="159"/>
      <c r="B24" s="75" t="s">
        <v>10</v>
      </c>
      <c r="C24" s="75"/>
      <c r="D24" s="76"/>
      <c r="E24" s="76"/>
      <c r="F24" s="76"/>
      <c r="G24" s="76">
        <f>G30</f>
        <v>0</v>
      </c>
      <c r="H24" s="76">
        <f>H30</f>
        <v>0</v>
      </c>
      <c r="I24" s="76">
        <f>I30</f>
        <v>0</v>
      </c>
      <c r="J24" s="38" t="e">
        <f t="shared" ref="J24" si="35">I24/H24</f>
        <v>#DIV/0!</v>
      </c>
      <c r="K24" s="37">
        <f>K30</f>
        <v>0</v>
      </c>
      <c r="L24" s="38" t="e">
        <f t="shared" ref="L24" si="36">K24/H24</f>
        <v>#DIV/0!</v>
      </c>
      <c r="M24" s="39" t="e">
        <f t="shared" ref="M24" si="37">K24/I24</f>
        <v>#DIV/0!</v>
      </c>
      <c r="N24" s="37">
        <f>N30</f>
        <v>0</v>
      </c>
      <c r="O24" s="37">
        <f t="shared" si="17"/>
        <v>0</v>
      </c>
      <c r="P24" s="38" t="e">
        <f t="shared" si="10"/>
        <v>#DIV/0!</v>
      </c>
      <c r="Q24" s="160"/>
      <c r="R24" s="160"/>
      <c r="S24" s="373"/>
    </row>
    <row r="25" spans="1:19" s="107" customFormat="1" ht="55.5" customHeight="1" x14ac:dyDescent="0.25">
      <c r="A25" s="159"/>
      <c r="B25" s="75" t="s">
        <v>8</v>
      </c>
      <c r="C25" s="75"/>
      <c r="D25" s="76"/>
      <c r="E25" s="76"/>
      <c r="F25" s="76"/>
      <c r="G25" s="76">
        <f t="shared" ref="G25:H25" si="38">G31</f>
        <v>162038.70000000001</v>
      </c>
      <c r="H25" s="76">
        <f t="shared" si="38"/>
        <v>162038.70000000001</v>
      </c>
      <c r="I25" s="76">
        <f t="shared" ref="I25:K25" si="39">I31</f>
        <v>53252.6</v>
      </c>
      <c r="J25" s="77">
        <f>I25/H25</f>
        <v>0.33</v>
      </c>
      <c r="K25" s="76">
        <f t="shared" si="39"/>
        <v>53252.6</v>
      </c>
      <c r="L25" s="77">
        <f>K25/H25</f>
        <v>0.33</v>
      </c>
      <c r="M25" s="78">
        <f>K25/I25</f>
        <v>1</v>
      </c>
      <c r="N25" s="76">
        <f t="shared" ref="N25" si="40">N31</f>
        <v>154386.63</v>
      </c>
      <c r="O25" s="76">
        <f t="shared" si="17"/>
        <v>7652.07</v>
      </c>
      <c r="P25" s="77">
        <f t="shared" si="10"/>
        <v>0.95</v>
      </c>
      <c r="Q25" s="160"/>
      <c r="R25" s="160"/>
      <c r="S25" s="373"/>
    </row>
    <row r="26" spans="1:19" s="107" customFormat="1" ht="55.5" customHeight="1" x14ac:dyDescent="0.25">
      <c r="A26" s="159"/>
      <c r="B26" s="80" t="s">
        <v>19</v>
      </c>
      <c r="C26" s="80"/>
      <c r="D26" s="81"/>
      <c r="E26" s="81"/>
      <c r="F26" s="81"/>
      <c r="G26" s="37">
        <f t="shared" ref="G26:H26" si="41">G32</f>
        <v>0</v>
      </c>
      <c r="H26" s="37">
        <f t="shared" si="41"/>
        <v>0</v>
      </c>
      <c r="I26" s="37">
        <f t="shared" ref="I26:K26" si="42">I32</f>
        <v>0</v>
      </c>
      <c r="J26" s="38" t="e">
        <f t="shared" ref="J26:J28" si="43">I26/H26</f>
        <v>#DIV/0!</v>
      </c>
      <c r="K26" s="37">
        <f t="shared" si="42"/>
        <v>0</v>
      </c>
      <c r="L26" s="38" t="e">
        <f t="shared" ref="L26:L28" si="44">K26/H26</f>
        <v>#DIV/0!</v>
      </c>
      <c r="M26" s="39" t="e">
        <f t="shared" ref="M26:M28" si="45">K26/I26</f>
        <v>#DIV/0!</v>
      </c>
      <c r="N26" s="37">
        <f t="shared" ref="N26" si="46">N32</f>
        <v>0</v>
      </c>
      <c r="O26" s="37">
        <f t="shared" si="17"/>
        <v>0</v>
      </c>
      <c r="P26" s="38" t="e">
        <f t="shared" si="10"/>
        <v>#DIV/0!</v>
      </c>
      <c r="Q26" s="160"/>
      <c r="R26" s="160"/>
      <c r="S26" s="373"/>
    </row>
    <row r="27" spans="1:19" s="107" customFormat="1" ht="55.5" customHeight="1" x14ac:dyDescent="0.25">
      <c r="A27" s="159"/>
      <c r="B27" s="80" t="s">
        <v>22</v>
      </c>
      <c r="C27" s="80"/>
      <c r="D27" s="81"/>
      <c r="E27" s="81"/>
      <c r="F27" s="81"/>
      <c r="G27" s="37">
        <f t="shared" ref="G27:I27" si="47">G33</f>
        <v>0</v>
      </c>
      <c r="H27" s="37">
        <f t="shared" si="47"/>
        <v>0</v>
      </c>
      <c r="I27" s="40">
        <f t="shared" si="47"/>
        <v>0</v>
      </c>
      <c r="J27" s="38" t="e">
        <f t="shared" si="43"/>
        <v>#DIV/0!</v>
      </c>
      <c r="K27" s="41"/>
      <c r="L27" s="38" t="e">
        <f t="shared" si="44"/>
        <v>#DIV/0!</v>
      </c>
      <c r="M27" s="39" t="e">
        <f t="shared" si="45"/>
        <v>#DIV/0!</v>
      </c>
      <c r="N27" s="37">
        <f t="shared" ref="N27" si="48">N33</f>
        <v>0</v>
      </c>
      <c r="O27" s="37">
        <f t="shared" si="17"/>
        <v>0</v>
      </c>
      <c r="P27" s="38" t="e">
        <f t="shared" si="10"/>
        <v>#DIV/0!</v>
      </c>
      <c r="Q27" s="160"/>
      <c r="R27" s="160"/>
      <c r="S27" s="373"/>
    </row>
    <row r="28" spans="1:19" s="107" customFormat="1" ht="55.5" customHeight="1" collapsed="1" x14ac:dyDescent="0.25">
      <c r="A28" s="162"/>
      <c r="B28" s="163" t="s">
        <v>11</v>
      </c>
      <c r="C28" s="80"/>
      <c r="D28" s="81"/>
      <c r="E28" s="81"/>
      <c r="F28" s="82"/>
      <c r="G28" s="37">
        <f t="shared" ref="G28:I28" si="49">G34</f>
        <v>0</v>
      </c>
      <c r="H28" s="37">
        <f t="shared" si="49"/>
        <v>0</v>
      </c>
      <c r="I28" s="40">
        <f t="shared" si="49"/>
        <v>0</v>
      </c>
      <c r="J28" s="38" t="e">
        <f t="shared" si="43"/>
        <v>#DIV/0!</v>
      </c>
      <c r="K28" s="41"/>
      <c r="L28" s="38" t="e">
        <f t="shared" si="44"/>
        <v>#DIV/0!</v>
      </c>
      <c r="M28" s="39" t="e">
        <f t="shared" si="45"/>
        <v>#DIV/0!</v>
      </c>
      <c r="N28" s="37">
        <f t="shared" ref="N28" si="50">N34</f>
        <v>0</v>
      </c>
      <c r="O28" s="37">
        <f t="shared" si="17"/>
        <v>0</v>
      </c>
      <c r="P28" s="38" t="e">
        <f t="shared" si="10"/>
        <v>#DIV/0!</v>
      </c>
      <c r="Q28" s="83"/>
      <c r="R28" s="83"/>
      <c r="S28" s="374"/>
    </row>
    <row r="29" spans="1:19" s="166" customFormat="1" ht="159" customHeight="1" x14ac:dyDescent="0.25">
      <c r="A29" s="67" t="s">
        <v>89</v>
      </c>
      <c r="B29" s="164" t="s">
        <v>182</v>
      </c>
      <c r="C29" s="69" t="s">
        <v>17</v>
      </c>
      <c r="D29" s="70">
        <f t="shared" ref="D29:I29" si="51">SUM(D30:D34)</f>
        <v>0</v>
      </c>
      <c r="E29" s="70">
        <f t="shared" si="51"/>
        <v>0</v>
      </c>
      <c r="F29" s="70">
        <f t="shared" si="51"/>
        <v>0</v>
      </c>
      <c r="G29" s="70">
        <f t="shared" si="51"/>
        <v>162038.70000000001</v>
      </c>
      <c r="H29" s="70">
        <f t="shared" si="51"/>
        <v>162038.70000000001</v>
      </c>
      <c r="I29" s="70">
        <f t="shared" si="51"/>
        <v>53252.6</v>
      </c>
      <c r="J29" s="72">
        <f>I29/H29</f>
        <v>0.33</v>
      </c>
      <c r="K29" s="70">
        <f>SUM(K30:K34)</f>
        <v>53252.6</v>
      </c>
      <c r="L29" s="73">
        <f>K29/H29</f>
        <v>0.33</v>
      </c>
      <c r="M29" s="73">
        <f>K29/I29</f>
        <v>1</v>
      </c>
      <c r="N29" s="70">
        <f>SUM(N30:N34)</f>
        <v>154386.63</v>
      </c>
      <c r="O29" s="70">
        <f>H29-N29</f>
        <v>7652.07</v>
      </c>
      <c r="P29" s="73">
        <f t="shared" si="10"/>
        <v>0.95</v>
      </c>
      <c r="Q29" s="165"/>
      <c r="R29" s="165"/>
      <c r="S29" s="387" t="s">
        <v>523</v>
      </c>
    </row>
    <row r="30" spans="1:19" s="107" customFormat="1" ht="104.25" customHeight="1" x14ac:dyDescent="0.25">
      <c r="A30" s="167"/>
      <c r="B30" s="75" t="s">
        <v>10</v>
      </c>
      <c r="C30" s="75"/>
      <c r="D30" s="76"/>
      <c r="E30" s="76"/>
      <c r="F30" s="79"/>
      <c r="G30" s="76"/>
      <c r="H30" s="79"/>
      <c r="I30" s="76"/>
      <c r="J30" s="124"/>
      <c r="K30" s="76"/>
      <c r="L30" s="125"/>
      <c r="M30" s="78"/>
      <c r="N30" s="76"/>
      <c r="O30" s="76">
        <f t="shared" ref="O30" si="52">H30-K30</f>
        <v>0</v>
      </c>
      <c r="P30" s="42" t="e">
        <f t="shared" si="10"/>
        <v>#DIV/0!</v>
      </c>
      <c r="Q30" s="130"/>
      <c r="R30" s="130"/>
      <c r="S30" s="388"/>
    </row>
    <row r="31" spans="1:19" s="107" customFormat="1" ht="104.25" customHeight="1" x14ac:dyDescent="0.25">
      <c r="A31" s="167"/>
      <c r="B31" s="75" t="s">
        <v>8</v>
      </c>
      <c r="C31" s="75"/>
      <c r="D31" s="76"/>
      <c r="E31" s="76"/>
      <c r="F31" s="76"/>
      <c r="G31" s="76">
        <v>162038.70000000001</v>
      </c>
      <c r="H31" s="76">
        <v>162038.70000000001</v>
      </c>
      <c r="I31" s="76">
        <f>K31</f>
        <v>53252.6</v>
      </c>
      <c r="J31" s="77">
        <f t="shared" ref="J31:J34" si="53">I31/H31</f>
        <v>0.33</v>
      </c>
      <c r="K31" s="76">
        <v>53252.6</v>
      </c>
      <c r="L31" s="78">
        <f>K31/H31</f>
        <v>0.33</v>
      </c>
      <c r="M31" s="78">
        <f t="shared" ref="M31:M34" si="54">K31/I31</f>
        <v>1</v>
      </c>
      <c r="N31" s="76">
        <v>154386.63</v>
      </c>
      <c r="O31" s="76">
        <f>H31-N31</f>
        <v>7652.07</v>
      </c>
      <c r="P31" s="78">
        <f t="shared" si="10"/>
        <v>0.95</v>
      </c>
      <c r="Q31" s="149"/>
      <c r="R31" s="149"/>
      <c r="S31" s="388"/>
    </row>
    <row r="32" spans="1:19" s="107" customFormat="1" ht="104.25" customHeight="1" x14ac:dyDescent="0.25">
      <c r="A32" s="167"/>
      <c r="B32" s="80" t="s">
        <v>19</v>
      </c>
      <c r="C32" s="80"/>
      <c r="D32" s="81"/>
      <c r="E32" s="81"/>
      <c r="F32" s="81"/>
      <c r="G32" s="81"/>
      <c r="H32" s="81"/>
      <c r="I32" s="81"/>
      <c r="J32" s="43" t="e">
        <f t="shared" si="53"/>
        <v>#DIV/0!</v>
      </c>
      <c r="K32" s="41"/>
      <c r="L32" s="44" t="e">
        <f>K32/H32</f>
        <v>#DIV/0!</v>
      </c>
      <c r="M32" s="44" t="e">
        <f t="shared" si="54"/>
        <v>#DIV/0!</v>
      </c>
      <c r="N32" s="41">
        <f>H32</f>
        <v>0</v>
      </c>
      <c r="O32" s="41">
        <f>H32-N32</f>
        <v>0</v>
      </c>
      <c r="P32" s="44" t="e">
        <f t="shared" si="10"/>
        <v>#DIV/0!</v>
      </c>
      <c r="Q32" s="149"/>
      <c r="R32" s="149"/>
      <c r="S32" s="388"/>
    </row>
    <row r="33" spans="1:19" s="107" customFormat="1" ht="104.25" customHeight="1" x14ac:dyDescent="0.25">
      <c r="A33" s="167"/>
      <c r="B33" s="75" t="s">
        <v>22</v>
      </c>
      <c r="C33" s="75"/>
      <c r="D33" s="76"/>
      <c r="E33" s="76"/>
      <c r="F33" s="76"/>
      <c r="G33" s="76"/>
      <c r="H33" s="76"/>
      <c r="I33" s="161"/>
      <c r="J33" s="38" t="e">
        <f t="shared" si="53"/>
        <v>#DIV/0!</v>
      </c>
      <c r="K33" s="37"/>
      <c r="L33" s="39">
        <v>0</v>
      </c>
      <c r="M33" s="39" t="e">
        <f>K33/I33</f>
        <v>#DIV/0!</v>
      </c>
      <c r="N33" s="37">
        <v>0</v>
      </c>
      <c r="O33" s="37">
        <f>H33-N33</f>
        <v>0</v>
      </c>
      <c r="P33" s="39" t="e">
        <f t="shared" si="10"/>
        <v>#DIV/0!</v>
      </c>
      <c r="Q33" s="149"/>
      <c r="R33" s="149"/>
      <c r="S33" s="388"/>
    </row>
    <row r="34" spans="1:19" s="107" customFormat="1" ht="104.25" customHeight="1" collapsed="1" x14ac:dyDescent="0.25">
      <c r="A34" s="168"/>
      <c r="B34" s="75" t="s">
        <v>11</v>
      </c>
      <c r="C34" s="75"/>
      <c r="D34" s="76"/>
      <c r="E34" s="76"/>
      <c r="F34" s="79"/>
      <c r="G34" s="76"/>
      <c r="H34" s="79"/>
      <c r="I34" s="76"/>
      <c r="J34" s="38" t="e">
        <f t="shared" si="53"/>
        <v>#DIV/0!</v>
      </c>
      <c r="K34" s="37"/>
      <c r="L34" s="39" t="e">
        <f t="shared" ref="L34" si="55">K34/H34</f>
        <v>#DIV/0!</v>
      </c>
      <c r="M34" s="39" t="e">
        <f t="shared" si="54"/>
        <v>#DIV/0!</v>
      </c>
      <c r="N34" s="37"/>
      <c r="O34" s="37">
        <f t="shared" ref="O34" si="56">H34-N34</f>
        <v>0</v>
      </c>
      <c r="P34" s="39" t="e">
        <f t="shared" si="10"/>
        <v>#DIV/0!</v>
      </c>
      <c r="Q34" s="84"/>
      <c r="R34" s="84"/>
      <c r="S34" s="389"/>
    </row>
    <row r="35" spans="1:19" s="28" customFormat="1" ht="112.5" x14ac:dyDescent="0.35">
      <c r="A35" s="169" t="s">
        <v>23</v>
      </c>
      <c r="B35" s="170" t="s">
        <v>274</v>
      </c>
      <c r="C35" s="138" t="s">
        <v>9</v>
      </c>
      <c r="D35" s="139" t="e">
        <f>SUM(D36:D40)</f>
        <v>#REF!</v>
      </c>
      <c r="E35" s="139" t="e">
        <f>SUM(E36:E40)</f>
        <v>#REF!</v>
      </c>
      <c r="F35" s="139" t="e">
        <f>SUM(F36:F40)</f>
        <v>#REF!</v>
      </c>
      <c r="G35" s="139">
        <f>SUM(G36:G40)</f>
        <v>8362444.0300000003</v>
      </c>
      <c r="H35" s="139">
        <f t="shared" ref="H35:K35" si="57">SUM(H36:H40)</f>
        <v>8415065.1300000008</v>
      </c>
      <c r="I35" s="139">
        <f t="shared" si="57"/>
        <v>3222001.57</v>
      </c>
      <c r="J35" s="171">
        <f>I35/H35</f>
        <v>0.38</v>
      </c>
      <c r="K35" s="139">
        <f t="shared" si="57"/>
        <v>3149060.13</v>
      </c>
      <c r="L35" s="172">
        <f>K35/H35</f>
        <v>0.37</v>
      </c>
      <c r="M35" s="172">
        <f>K35/I35</f>
        <v>0.98</v>
      </c>
      <c r="N35" s="139">
        <f t="shared" ref="N35" si="58">SUM(N36:N40)</f>
        <v>8374730</v>
      </c>
      <c r="O35" s="139">
        <f>SUM(O36:O40)</f>
        <v>40335.129999999997</v>
      </c>
      <c r="P35" s="172">
        <f t="shared" si="10"/>
        <v>1</v>
      </c>
      <c r="Q35" s="173"/>
      <c r="R35" s="173"/>
      <c r="S35" s="174" t="s">
        <v>264</v>
      </c>
    </row>
    <row r="36" spans="1:19" s="28" customFormat="1" ht="42" customHeight="1" x14ac:dyDescent="0.35">
      <c r="A36" s="175"/>
      <c r="B36" s="144" t="s">
        <v>10</v>
      </c>
      <c r="C36" s="145"/>
      <c r="D36" s="146"/>
      <c r="E36" s="146"/>
      <c r="F36" s="146"/>
      <c r="G36" s="352">
        <f t="shared" ref="G36:I40" si="59">G42+G108+G138</f>
        <v>0</v>
      </c>
      <c r="H36" s="352">
        <f t="shared" si="59"/>
        <v>0</v>
      </c>
      <c r="I36" s="352">
        <f t="shared" si="59"/>
        <v>0</v>
      </c>
      <c r="J36" s="353" t="e">
        <f>I36/H36</f>
        <v>#DIV/0!</v>
      </c>
      <c r="K36" s="352">
        <f>K42+K108+K138</f>
        <v>0</v>
      </c>
      <c r="L36" s="354" t="e">
        <f>K36/H36</f>
        <v>#DIV/0!</v>
      </c>
      <c r="M36" s="354" t="e">
        <f t="shared" ref="M36:M40" si="60">K36/I36</f>
        <v>#DIV/0!</v>
      </c>
      <c r="N36" s="352">
        <f t="shared" ref="N36:O40" si="61">N42+N108+N138</f>
        <v>0</v>
      </c>
      <c r="O36" s="352">
        <f t="shared" si="61"/>
        <v>0</v>
      </c>
      <c r="P36" s="354" t="e">
        <f t="shared" si="10"/>
        <v>#DIV/0!</v>
      </c>
      <c r="Q36" s="149"/>
      <c r="R36" s="149"/>
      <c r="S36" s="373"/>
    </row>
    <row r="37" spans="1:19" s="28" customFormat="1" ht="42" customHeight="1" x14ac:dyDescent="0.35">
      <c r="A37" s="176"/>
      <c r="B37" s="177" t="s">
        <v>8</v>
      </c>
      <c r="C37" s="178"/>
      <c r="D37" s="179" t="e">
        <f t="shared" ref="D37:F38" si="62">D43</f>
        <v>#REF!</v>
      </c>
      <c r="E37" s="179" t="e">
        <f t="shared" si="62"/>
        <v>#REF!</v>
      </c>
      <c r="F37" s="179" t="e">
        <f t="shared" si="62"/>
        <v>#REF!</v>
      </c>
      <c r="G37" s="146">
        <f t="shared" si="59"/>
        <v>8340663.5</v>
      </c>
      <c r="H37" s="146">
        <f t="shared" si="59"/>
        <v>8393284.5999999996</v>
      </c>
      <c r="I37" s="146">
        <f t="shared" si="59"/>
        <v>3217307</v>
      </c>
      <c r="J37" s="147">
        <f t="shared" ref="J37:J40" si="63">I37/H37</f>
        <v>0.38</v>
      </c>
      <c r="K37" s="146">
        <f>K43+K109+K139</f>
        <v>3144365.56</v>
      </c>
      <c r="L37" s="148">
        <f t="shared" ref="L37:L40" si="64">K37/H37</f>
        <v>0.37</v>
      </c>
      <c r="M37" s="148">
        <f t="shared" si="60"/>
        <v>0.98</v>
      </c>
      <c r="N37" s="146">
        <f t="shared" si="61"/>
        <v>8352949.4699999997</v>
      </c>
      <c r="O37" s="146">
        <f t="shared" si="61"/>
        <v>40335.129999999997</v>
      </c>
      <c r="P37" s="148">
        <f t="shared" si="10"/>
        <v>1</v>
      </c>
      <c r="Q37" s="149"/>
      <c r="R37" s="149"/>
      <c r="S37" s="373"/>
    </row>
    <row r="38" spans="1:19" s="28" customFormat="1" ht="42" customHeight="1" x14ac:dyDescent="0.35">
      <c r="A38" s="176"/>
      <c r="B38" s="144" t="s">
        <v>19</v>
      </c>
      <c r="C38" s="145"/>
      <c r="D38" s="146" t="e">
        <f t="shared" si="62"/>
        <v>#REF!</v>
      </c>
      <c r="E38" s="146" t="e">
        <f t="shared" si="62"/>
        <v>#REF!</v>
      </c>
      <c r="F38" s="146" t="e">
        <f t="shared" si="62"/>
        <v>#REF!</v>
      </c>
      <c r="G38" s="146">
        <f t="shared" si="59"/>
        <v>10741.77</v>
      </c>
      <c r="H38" s="146">
        <f t="shared" si="59"/>
        <v>10741.77</v>
      </c>
      <c r="I38" s="146">
        <f t="shared" si="59"/>
        <v>4694.57</v>
      </c>
      <c r="J38" s="147">
        <f t="shared" si="63"/>
        <v>0.44</v>
      </c>
      <c r="K38" s="146">
        <f>K44+K110+K140</f>
        <v>4694.57</v>
      </c>
      <c r="L38" s="148">
        <f t="shared" si="64"/>
        <v>0.44</v>
      </c>
      <c r="M38" s="148">
        <f t="shared" si="60"/>
        <v>1</v>
      </c>
      <c r="N38" s="146">
        <f t="shared" si="61"/>
        <v>10741.77</v>
      </c>
      <c r="O38" s="146">
        <f t="shared" si="61"/>
        <v>0</v>
      </c>
      <c r="P38" s="148">
        <f t="shared" si="10"/>
        <v>1</v>
      </c>
      <c r="Q38" s="149"/>
      <c r="R38" s="149"/>
      <c r="S38" s="373"/>
    </row>
    <row r="39" spans="1:19" s="28" customFormat="1" ht="42" customHeight="1" x14ac:dyDescent="0.35">
      <c r="A39" s="176"/>
      <c r="B39" s="144" t="s">
        <v>22</v>
      </c>
      <c r="C39" s="145"/>
      <c r="D39" s="146"/>
      <c r="E39" s="146"/>
      <c r="F39" s="146"/>
      <c r="G39" s="146">
        <f t="shared" si="59"/>
        <v>11038.76</v>
      </c>
      <c r="H39" s="146">
        <f t="shared" si="59"/>
        <v>11038.76</v>
      </c>
      <c r="I39" s="352">
        <f t="shared" si="59"/>
        <v>0</v>
      </c>
      <c r="J39" s="353">
        <f t="shared" si="63"/>
        <v>0</v>
      </c>
      <c r="K39" s="352">
        <f>K45+K111+K141</f>
        <v>0</v>
      </c>
      <c r="L39" s="354">
        <f t="shared" si="64"/>
        <v>0</v>
      </c>
      <c r="M39" s="354" t="e">
        <f t="shared" si="60"/>
        <v>#DIV/0!</v>
      </c>
      <c r="N39" s="146">
        <f t="shared" si="61"/>
        <v>11038.76</v>
      </c>
      <c r="O39" s="146">
        <f t="shared" si="61"/>
        <v>0</v>
      </c>
      <c r="P39" s="148">
        <f t="shared" si="10"/>
        <v>1</v>
      </c>
      <c r="Q39" s="149"/>
      <c r="R39" s="149"/>
      <c r="S39" s="373"/>
    </row>
    <row r="40" spans="1:19" s="28" customFormat="1" ht="42" customHeight="1" x14ac:dyDescent="0.35">
      <c r="A40" s="180"/>
      <c r="B40" s="144" t="s">
        <v>11</v>
      </c>
      <c r="C40" s="145"/>
      <c r="D40" s="146"/>
      <c r="E40" s="146"/>
      <c r="F40" s="146"/>
      <c r="G40" s="352">
        <f t="shared" si="59"/>
        <v>0</v>
      </c>
      <c r="H40" s="352">
        <f t="shared" si="59"/>
        <v>0</v>
      </c>
      <c r="I40" s="352">
        <f t="shared" si="59"/>
        <v>0</v>
      </c>
      <c r="J40" s="353" t="e">
        <f t="shared" si="63"/>
        <v>#DIV/0!</v>
      </c>
      <c r="K40" s="352">
        <f>K46+K112+K142</f>
        <v>0</v>
      </c>
      <c r="L40" s="354" t="e">
        <f t="shared" si="64"/>
        <v>#DIV/0!</v>
      </c>
      <c r="M40" s="354" t="e">
        <f t="shared" si="60"/>
        <v>#DIV/0!</v>
      </c>
      <c r="N40" s="352">
        <f t="shared" si="61"/>
        <v>0</v>
      </c>
      <c r="O40" s="352">
        <f t="shared" si="61"/>
        <v>0</v>
      </c>
      <c r="P40" s="354" t="e">
        <f t="shared" si="10"/>
        <v>#DIV/0!</v>
      </c>
      <c r="Q40" s="84"/>
      <c r="R40" s="84"/>
      <c r="S40" s="374"/>
    </row>
    <row r="41" spans="1:19" s="183" customFormat="1" ht="46.5" x14ac:dyDescent="0.35">
      <c r="A41" s="152" t="s">
        <v>24</v>
      </c>
      <c r="B41" s="181" t="s">
        <v>69</v>
      </c>
      <c r="C41" s="154" t="s">
        <v>2</v>
      </c>
      <c r="D41" s="155" t="e">
        <f t="shared" ref="D41:I41" si="65">SUM(D42:D46)</f>
        <v>#REF!</v>
      </c>
      <c r="E41" s="155" t="e">
        <f t="shared" si="65"/>
        <v>#REF!</v>
      </c>
      <c r="F41" s="155" t="e">
        <f t="shared" si="65"/>
        <v>#REF!</v>
      </c>
      <c r="G41" s="155">
        <f t="shared" si="65"/>
        <v>8093242.6600000001</v>
      </c>
      <c r="H41" s="155">
        <f t="shared" si="65"/>
        <v>8145633.7599999998</v>
      </c>
      <c r="I41" s="155">
        <f t="shared" si="65"/>
        <v>3089315</v>
      </c>
      <c r="J41" s="156">
        <f>I41/H41</f>
        <v>0.38</v>
      </c>
      <c r="K41" s="155">
        <f>SUM(K42:K46)</f>
        <v>3041451.13</v>
      </c>
      <c r="L41" s="182">
        <f>K41/H41</f>
        <v>0.37</v>
      </c>
      <c r="M41" s="182">
        <f>K41/I41</f>
        <v>0.98</v>
      </c>
      <c r="N41" s="155">
        <f t="shared" ref="N41" si="66">SUM(N42:N46)</f>
        <v>8105298.6299999999</v>
      </c>
      <c r="O41" s="155">
        <f>H41-N41</f>
        <v>40335.129999999997</v>
      </c>
      <c r="P41" s="182">
        <f t="shared" si="10"/>
        <v>1</v>
      </c>
      <c r="Q41" s="182"/>
      <c r="R41" s="182"/>
      <c r="S41" s="407"/>
    </row>
    <row r="42" spans="1:19" s="28" customFormat="1" ht="48" customHeight="1" x14ac:dyDescent="0.35">
      <c r="A42" s="159"/>
      <c r="B42" s="75" t="s">
        <v>10</v>
      </c>
      <c r="C42" s="75"/>
      <c r="D42" s="76" t="e">
        <f>#REF!</f>
        <v>#REF!</v>
      </c>
      <c r="E42" s="76" t="e">
        <f>#REF!</f>
        <v>#REF!</v>
      </c>
      <c r="F42" s="76" t="e">
        <f>#REF!</f>
        <v>#REF!</v>
      </c>
      <c r="G42" s="76">
        <f>G48+G54+G60+G66+G72+G78+G84+G90</f>
        <v>0</v>
      </c>
      <c r="H42" s="76">
        <f t="shared" ref="H42:I42" si="67">H48+H54+H60+H66+H72+H78+H84+H90</f>
        <v>0</v>
      </c>
      <c r="I42" s="76">
        <f t="shared" si="67"/>
        <v>0</v>
      </c>
      <c r="J42" s="38" t="e">
        <f t="shared" ref="J42:J46" si="68">I42/H42</f>
        <v>#DIV/0!</v>
      </c>
      <c r="K42" s="37">
        <f t="shared" ref="K42" si="69">K48+K54+K60+K66+K72+K78+K84+K90</f>
        <v>0</v>
      </c>
      <c r="L42" s="39" t="e">
        <f t="shared" ref="L42:L46" si="70">K42/H42</f>
        <v>#DIV/0!</v>
      </c>
      <c r="M42" s="39" t="e">
        <f t="shared" ref="M42:M107" si="71">K42/I42</f>
        <v>#DIV/0!</v>
      </c>
      <c r="N42" s="37">
        <f t="shared" ref="N42:O42" si="72">N48+N54+N60+N66+N72+N78+N84+N90</f>
        <v>0</v>
      </c>
      <c r="O42" s="37">
        <f t="shared" si="72"/>
        <v>0</v>
      </c>
      <c r="P42" s="39" t="e">
        <f t="shared" si="10"/>
        <v>#DIV/0!</v>
      </c>
      <c r="Q42" s="78"/>
      <c r="R42" s="78"/>
      <c r="S42" s="408"/>
    </row>
    <row r="43" spans="1:19" s="28" customFormat="1" ht="48" customHeight="1" x14ac:dyDescent="0.35">
      <c r="A43" s="159"/>
      <c r="B43" s="75" t="s">
        <v>8</v>
      </c>
      <c r="C43" s="75"/>
      <c r="D43" s="76" t="e">
        <f>#REF!</f>
        <v>#REF!</v>
      </c>
      <c r="E43" s="76" t="e">
        <f>#REF!</f>
        <v>#REF!</v>
      </c>
      <c r="F43" s="76" t="e">
        <f>#REF!</f>
        <v>#REF!</v>
      </c>
      <c r="G43" s="76">
        <f t="shared" ref="G43:I46" si="73">G49+G55+G61+G67+G73+G79+G85+G91</f>
        <v>8082203.9000000004</v>
      </c>
      <c r="H43" s="76">
        <f t="shared" si="73"/>
        <v>8134595</v>
      </c>
      <c r="I43" s="76">
        <f t="shared" si="73"/>
        <v>3089315</v>
      </c>
      <c r="J43" s="77">
        <f t="shared" si="68"/>
        <v>0.38</v>
      </c>
      <c r="K43" s="76">
        <f t="shared" ref="K43" si="74">K49+K55+K61+K67+K73+K79+K85+K91</f>
        <v>3041451.13</v>
      </c>
      <c r="L43" s="78">
        <f t="shared" si="70"/>
        <v>0.37</v>
      </c>
      <c r="M43" s="78">
        <f t="shared" si="71"/>
        <v>0.98</v>
      </c>
      <c r="N43" s="76">
        <f t="shared" ref="N43:O43" si="75">N49+N55+N61+N67+N73+N79+N85+N91</f>
        <v>8094259.8700000001</v>
      </c>
      <c r="O43" s="76">
        <f t="shared" si="75"/>
        <v>40335.129999999997</v>
      </c>
      <c r="P43" s="184">
        <f t="shared" si="10"/>
        <v>0.995</v>
      </c>
      <c r="Q43" s="184"/>
      <c r="R43" s="184"/>
      <c r="S43" s="408"/>
    </row>
    <row r="44" spans="1:19" s="28" customFormat="1" ht="48" customHeight="1" x14ac:dyDescent="0.35">
      <c r="A44" s="159"/>
      <c r="B44" s="75" t="s">
        <v>19</v>
      </c>
      <c r="C44" s="75"/>
      <c r="D44" s="76" t="e">
        <f>#REF!</f>
        <v>#REF!</v>
      </c>
      <c r="E44" s="76" t="e">
        <f>#REF!</f>
        <v>#REF!</v>
      </c>
      <c r="F44" s="76" t="e">
        <f>#REF!</f>
        <v>#REF!</v>
      </c>
      <c r="G44" s="76">
        <f t="shared" si="73"/>
        <v>0</v>
      </c>
      <c r="H44" s="76">
        <f t="shared" si="73"/>
        <v>0</v>
      </c>
      <c r="I44" s="37">
        <f t="shared" si="73"/>
        <v>0</v>
      </c>
      <c r="J44" s="38" t="e">
        <f t="shared" si="68"/>
        <v>#DIV/0!</v>
      </c>
      <c r="K44" s="37">
        <f t="shared" ref="K44" si="76">K50+K56+K62+K68+K74+K80+K86+K92</f>
        <v>0</v>
      </c>
      <c r="L44" s="39" t="e">
        <f t="shared" si="70"/>
        <v>#DIV/0!</v>
      </c>
      <c r="M44" s="39" t="e">
        <f t="shared" si="71"/>
        <v>#DIV/0!</v>
      </c>
      <c r="N44" s="37">
        <f t="shared" ref="N44:O44" si="77">N50+N56+N62+N68+N74+N80+N86+N92</f>
        <v>0</v>
      </c>
      <c r="O44" s="37">
        <f t="shared" si="77"/>
        <v>0</v>
      </c>
      <c r="P44" s="39" t="e">
        <f t="shared" si="10"/>
        <v>#DIV/0!</v>
      </c>
      <c r="Q44" s="78"/>
      <c r="R44" s="78"/>
      <c r="S44" s="408"/>
    </row>
    <row r="45" spans="1:19" s="28" customFormat="1" ht="48" customHeight="1" x14ac:dyDescent="0.35">
      <c r="A45" s="159"/>
      <c r="B45" s="80" t="s">
        <v>22</v>
      </c>
      <c r="C45" s="80"/>
      <c r="D45" s="76" t="e">
        <f>#REF!</f>
        <v>#REF!</v>
      </c>
      <c r="E45" s="76" t="e">
        <f>#REF!</f>
        <v>#REF!</v>
      </c>
      <c r="F45" s="76" t="e">
        <f>#REF!</f>
        <v>#REF!</v>
      </c>
      <c r="G45" s="76">
        <f t="shared" si="73"/>
        <v>11038.76</v>
      </c>
      <c r="H45" s="76">
        <f t="shared" si="73"/>
        <v>11038.76</v>
      </c>
      <c r="I45" s="76">
        <f t="shared" si="73"/>
        <v>0</v>
      </c>
      <c r="J45" s="77">
        <f t="shared" si="68"/>
        <v>0</v>
      </c>
      <c r="K45" s="76">
        <f t="shared" ref="K45" si="78">K51+K57+K63+K69+K75+K81+K87+K93</f>
        <v>0</v>
      </c>
      <c r="L45" s="78">
        <f t="shared" si="70"/>
        <v>0</v>
      </c>
      <c r="M45" s="39" t="e">
        <f t="shared" si="71"/>
        <v>#DIV/0!</v>
      </c>
      <c r="N45" s="76">
        <f t="shared" ref="N45:O45" si="79">N51+N57+N63+N69+N75+N81+N87+N93</f>
        <v>11038.76</v>
      </c>
      <c r="O45" s="76">
        <f t="shared" si="79"/>
        <v>0</v>
      </c>
      <c r="P45" s="78">
        <f t="shared" si="10"/>
        <v>1</v>
      </c>
      <c r="Q45" s="78"/>
      <c r="R45" s="78"/>
      <c r="S45" s="408"/>
    </row>
    <row r="46" spans="1:19" s="28" customFormat="1" ht="48" customHeight="1" x14ac:dyDescent="0.35">
      <c r="A46" s="162"/>
      <c r="B46" s="75" t="s">
        <v>11</v>
      </c>
      <c r="C46" s="75"/>
      <c r="D46" s="76" t="e">
        <f>#REF!</f>
        <v>#REF!</v>
      </c>
      <c r="E46" s="76" t="e">
        <f>#REF!</f>
        <v>#REF!</v>
      </c>
      <c r="F46" s="76" t="e">
        <f>#REF!</f>
        <v>#REF!</v>
      </c>
      <c r="G46" s="76">
        <f t="shared" si="73"/>
        <v>0</v>
      </c>
      <c r="H46" s="76">
        <f t="shared" si="73"/>
        <v>0</v>
      </c>
      <c r="I46" s="37">
        <f t="shared" si="73"/>
        <v>0</v>
      </c>
      <c r="J46" s="38" t="e">
        <f t="shared" si="68"/>
        <v>#DIV/0!</v>
      </c>
      <c r="K46" s="37">
        <f t="shared" ref="K46" si="80">K52+K58+K64+K70+K76+K82+K88+K94</f>
        <v>0</v>
      </c>
      <c r="L46" s="39" t="e">
        <f t="shared" si="70"/>
        <v>#DIV/0!</v>
      </c>
      <c r="M46" s="39" t="e">
        <f t="shared" si="71"/>
        <v>#DIV/0!</v>
      </c>
      <c r="N46" s="37">
        <f t="shared" ref="N46:O46" si="81">N52+N58+N64+N70+N76+N82+N88+N94</f>
        <v>0</v>
      </c>
      <c r="O46" s="37">
        <f t="shared" si="81"/>
        <v>0</v>
      </c>
      <c r="P46" s="39" t="e">
        <f t="shared" si="10"/>
        <v>#DIV/0!</v>
      </c>
      <c r="Q46" s="78"/>
      <c r="R46" s="78"/>
      <c r="S46" s="408"/>
    </row>
    <row r="47" spans="1:19" s="28" customFormat="1" ht="69.75" x14ac:dyDescent="0.35">
      <c r="A47" s="67" t="s">
        <v>31</v>
      </c>
      <c r="B47" s="69" t="s">
        <v>250</v>
      </c>
      <c r="C47" s="69" t="s">
        <v>17</v>
      </c>
      <c r="D47" s="70">
        <f t="shared" ref="D47:H47" si="82">SUM(D48:D52)</f>
        <v>0</v>
      </c>
      <c r="E47" s="70">
        <f t="shared" si="82"/>
        <v>0</v>
      </c>
      <c r="F47" s="70">
        <f t="shared" si="82"/>
        <v>0</v>
      </c>
      <c r="G47" s="70">
        <f>SUM(G48:G52)</f>
        <v>59464.94</v>
      </c>
      <c r="H47" s="70">
        <f t="shared" si="82"/>
        <v>59464.94</v>
      </c>
      <c r="I47" s="70">
        <f>I49</f>
        <v>15441</v>
      </c>
      <c r="J47" s="72">
        <f>I47/H47</f>
        <v>0.26</v>
      </c>
      <c r="K47" s="70">
        <f>SUM(K48:K52)</f>
        <v>13387.53</v>
      </c>
      <c r="L47" s="73">
        <f>K47/H47</f>
        <v>0.23</v>
      </c>
      <c r="M47" s="72">
        <f>K47/I47</f>
        <v>0.87</v>
      </c>
      <c r="N47" s="70">
        <f>SUM(N48:N52)</f>
        <v>59464.94</v>
      </c>
      <c r="O47" s="70">
        <f t="shared" ref="O47:O76" si="83">H47-N47</f>
        <v>0</v>
      </c>
      <c r="P47" s="73">
        <f t="shared" si="10"/>
        <v>1</v>
      </c>
      <c r="Q47" s="73"/>
      <c r="R47" s="73"/>
      <c r="S47" s="407" t="s">
        <v>413</v>
      </c>
    </row>
    <row r="48" spans="1:19" s="28" customFormat="1" ht="48" customHeight="1" x14ac:dyDescent="0.35">
      <c r="A48" s="167"/>
      <c r="B48" s="75" t="s">
        <v>10</v>
      </c>
      <c r="C48" s="75"/>
      <c r="D48" s="76"/>
      <c r="E48" s="76"/>
      <c r="F48" s="76"/>
      <c r="G48" s="76"/>
      <c r="H48" s="79"/>
      <c r="I48" s="37"/>
      <c r="J48" s="38" t="e">
        <f t="shared" ref="J48:J52" si="84">I48/H48</f>
        <v>#DIV/0!</v>
      </c>
      <c r="K48" s="37"/>
      <c r="L48" s="39" t="e">
        <f t="shared" ref="L48:L52" si="85">K48/H48</f>
        <v>#DIV/0!</v>
      </c>
      <c r="M48" s="39" t="e">
        <f t="shared" ref="M48:M52" si="86">K48/I48</f>
        <v>#DIV/0!</v>
      </c>
      <c r="N48" s="37"/>
      <c r="O48" s="60">
        <f t="shared" si="83"/>
        <v>0</v>
      </c>
      <c r="P48" s="39" t="e">
        <f t="shared" si="10"/>
        <v>#DIV/0!</v>
      </c>
      <c r="Q48" s="78"/>
      <c r="R48" s="78"/>
      <c r="S48" s="408"/>
    </row>
    <row r="49" spans="1:20" s="28" customFormat="1" ht="48" customHeight="1" x14ac:dyDescent="0.35">
      <c r="A49" s="167"/>
      <c r="B49" s="75" t="s">
        <v>8</v>
      </c>
      <c r="C49" s="75"/>
      <c r="D49" s="76"/>
      <c r="E49" s="76"/>
      <c r="F49" s="76"/>
      <c r="G49" s="76">
        <v>59464.94</v>
      </c>
      <c r="H49" s="76">
        <v>59464.94</v>
      </c>
      <c r="I49" s="76">
        <v>15441</v>
      </c>
      <c r="J49" s="77">
        <f t="shared" si="84"/>
        <v>0.26</v>
      </c>
      <c r="K49" s="76">
        <v>13387.53</v>
      </c>
      <c r="L49" s="78">
        <f t="shared" si="85"/>
        <v>0.23</v>
      </c>
      <c r="M49" s="78">
        <f t="shared" si="86"/>
        <v>0.87</v>
      </c>
      <c r="N49" s="76">
        <f>H49</f>
        <v>59464.94</v>
      </c>
      <c r="O49" s="76">
        <f t="shared" si="83"/>
        <v>0</v>
      </c>
      <c r="P49" s="78">
        <f t="shared" si="10"/>
        <v>1</v>
      </c>
      <c r="Q49" s="78"/>
      <c r="R49" s="78"/>
      <c r="S49" s="408"/>
    </row>
    <row r="50" spans="1:20" s="28" customFormat="1" ht="48" customHeight="1" x14ac:dyDescent="0.35">
      <c r="A50" s="167"/>
      <c r="B50" s="75" t="s">
        <v>19</v>
      </c>
      <c r="C50" s="75"/>
      <c r="D50" s="76"/>
      <c r="E50" s="76"/>
      <c r="F50" s="76"/>
      <c r="G50" s="76"/>
      <c r="H50" s="76"/>
      <c r="I50" s="76"/>
      <c r="J50" s="38" t="e">
        <f t="shared" si="84"/>
        <v>#DIV/0!</v>
      </c>
      <c r="K50" s="37"/>
      <c r="L50" s="39" t="e">
        <f t="shared" si="85"/>
        <v>#DIV/0!</v>
      </c>
      <c r="M50" s="39" t="e">
        <f t="shared" si="86"/>
        <v>#DIV/0!</v>
      </c>
      <c r="N50" s="37"/>
      <c r="O50" s="37">
        <f t="shared" si="83"/>
        <v>0</v>
      </c>
      <c r="P50" s="39" t="e">
        <f t="shared" si="10"/>
        <v>#DIV/0!</v>
      </c>
      <c r="Q50" s="78"/>
      <c r="R50" s="78"/>
      <c r="S50" s="408"/>
    </row>
    <row r="51" spans="1:20" s="28" customFormat="1" ht="48" customHeight="1" x14ac:dyDescent="0.35">
      <c r="A51" s="167"/>
      <c r="B51" s="75" t="s">
        <v>22</v>
      </c>
      <c r="C51" s="75"/>
      <c r="D51" s="76"/>
      <c r="E51" s="76"/>
      <c r="F51" s="76"/>
      <c r="G51" s="76"/>
      <c r="H51" s="76"/>
      <c r="I51" s="76"/>
      <c r="J51" s="38" t="e">
        <f t="shared" si="84"/>
        <v>#DIV/0!</v>
      </c>
      <c r="K51" s="37"/>
      <c r="L51" s="39" t="e">
        <f t="shared" si="85"/>
        <v>#DIV/0!</v>
      </c>
      <c r="M51" s="39" t="e">
        <f t="shared" si="86"/>
        <v>#DIV/0!</v>
      </c>
      <c r="N51" s="37"/>
      <c r="O51" s="37">
        <f t="shared" si="83"/>
        <v>0</v>
      </c>
      <c r="P51" s="39" t="e">
        <f t="shared" si="10"/>
        <v>#DIV/0!</v>
      </c>
      <c r="Q51" s="78"/>
      <c r="R51" s="78"/>
      <c r="S51" s="408"/>
    </row>
    <row r="52" spans="1:20" s="28" customFormat="1" ht="48" customHeight="1" x14ac:dyDescent="0.35">
      <c r="A52" s="168"/>
      <c r="B52" s="75" t="s">
        <v>11</v>
      </c>
      <c r="C52" s="75"/>
      <c r="D52" s="76"/>
      <c r="E52" s="76"/>
      <c r="F52" s="76"/>
      <c r="G52" s="76"/>
      <c r="H52" s="79"/>
      <c r="I52" s="76"/>
      <c r="J52" s="38" t="e">
        <f t="shared" si="84"/>
        <v>#DIV/0!</v>
      </c>
      <c r="K52" s="37"/>
      <c r="L52" s="39" t="e">
        <f t="shared" si="85"/>
        <v>#DIV/0!</v>
      </c>
      <c r="M52" s="39" t="e">
        <f t="shared" si="86"/>
        <v>#DIV/0!</v>
      </c>
      <c r="N52" s="37"/>
      <c r="O52" s="60">
        <f t="shared" si="83"/>
        <v>0</v>
      </c>
      <c r="P52" s="39" t="e">
        <f t="shared" si="10"/>
        <v>#DIV/0!</v>
      </c>
      <c r="Q52" s="78"/>
      <c r="R52" s="78"/>
      <c r="S52" s="408"/>
    </row>
    <row r="53" spans="1:20" s="28" customFormat="1" ht="93" x14ac:dyDescent="0.35">
      <c r="A53" s="67" t="s">
        <v>63</v>
      </c>
      <c r="B53" s="69" t="s">
        <v>98</v>
      </c>
      <c r="C53" s="69" t="s">
        <v>17</v>
      </c>
      <c r="D53" s="70">
        <f t="shared" ref="D53:I53" si="87">SUM(D54:D58)</f>
        <v>0</v>
      </c>
      <c r="E53" s="70">
        <f t="shared" si="87"/>
        <v>0</v>
      </c>
      <c r="F53" s="70">
        <f t="shared" si="87"/>
        <v>0</v>
      </c>
      <c r="G53" s="70">
        <f t="shared" si="87"/>
        <v>2977001</v>
      </c>
      <c r="H53" s="70">
        <f t="shared" si="87"/>
        <v>3029392.1</v>
      </c>
      <c r="I53" s="70">
        <f t="shared" si="87"/>
        <v>1130448</v>
      </c>
      <c r="J53" s="72">
        <f>I53/H53</f>
        <v>0.37</v>
      </c>
      <c r="K53" s="70">
        <f>SUM(K54:K58)</f>
        <v>1121794.3999999999</v>
      </c>
      <c r="L53" s="73">
        <f>K53/H53</f>
        <v>0.37</v>
      </c>
      <c r="M53" s="73">
        <f t="shared" ref="M53:M64" si="88">K53/I53</f>
        <v>0.99</v>
      </c>
      <c r="N53" s="70">
        <f>SUM(N54:N58)</f>
        <v>3029392.1</v>
      </c>
      <c r="O53" s="70">
        <f t="shared" si="83"/>
        <v>0</v>
      </c>
      <c r="P53" s="73">
        <f t="shared" si="10"/>
        <v>1</v>
      </c>
      <c r="Q53" s="73"/>
      <c r="R53" s="73"/>
      <c r="S53" s="386" t="s">
        <v>499</v>
      </c>
    </row>
    <row r="54" spans="1:20" s="28" customFormat="1" ht="48" customHeight="1" x14ac:dyDescent="0.35">
      <c r="A54" s="167"/>
      <c r="B54" s="75" t="s">
        <v>10</v>
      </c>
      <c r="C54" s="75"/>
      <c r="D54" s="76"/>
      <c r="E54" s="76"/>
      <c r="F54" s="76"/>
      <c r="G54" s="76"/>
      <c r="H54" s="79"/>
      <c r="I54" s="76"/>
      <c r="J54" s="38" t="e">
        <f t="shared" ref="J54:J58" si="89">I54/H54</f>
        <v>#DIV/0!</v>
      </c>
      <c r="K54" s="37"/>
      <c r="L54" s="39" t="e">
        <f t="shared" ref="L54:L58" si="90">K54/H54</f>
        <v>#DIV/0!</v>
      </c>
      <c r="M54" s="46" t="e">
        <f t="shared" si="88"/>
        <v>#DIV/0!</v>
      </c>
      <c r="N54" s="37"/>
      <c r="O54" s="60">
        <f t="shared" si="83"/>
        <v>0</v>
      </c>
      <c r="P54" s="39" t="e">
        <f t="shared" si="10"/>
        <v>#DIV/0!</v>
      </c>
      <c r="Q54" s="78"/>
      <c r="R54" s="78"/>
      <c r="S54" s="386"/>
    </row>
    <row r="55" spans="1:20" s="28" customFormat="1" ht="48" customHeight="1" x14ac:dyDescent="0.35">
      <c r="A55" s="167"/>
      <c r="B55" s="75" t="s">
        <v>8</v>
      </c>
      <c r="C55" s="75"/>
      <c r="D55" s="76"/>
      <c r="E55" s="76"/>
      <c r="F55" s="76"/>
      <c r="G55" s="76">
        <v>2977001</v>
      </c>
      <c r="H55" s="76">
        <v>3029392.1</v>
      </c>
      <c r="I55" s="76">
        <v>1130448</v>
      </c>
      <c r="J55" s="77">
        <f t="shared" si="89"/>
        <v>0.37</v>
      </c>
      <c r="K55" s="76">
        <v>1121794.3999999999</v>
      </c>
      <c r="L55" s="78">
        <f t="shared" si="90"/>
        <v>0.37</v>
      </c>
      <c r="M55" s="78">
        <f t="shared" si="88"/>
        <v>0.99</v>
      </c>
      <c r="N55" s="76">
        <f>H55</f>
        <v>3029392.1</v>
      </c>
      <c r="O55" s="76">
        <f t="shared" si="83"/>
        <v>0</v>
      </c>
      <c r="P55" s="78">
        <f t="shared" si="10"/>
        <v>1</v>
      </c>
      <c r="Q55" s="78"/>
      <c r="R55" s="78"/>
      <c r="S55" s="386"/>
    </row>
    <row r="56" spans="1:20" s="28" customFormat="1" ht="48" customHeight="1" x14ac:dyDescent="0.35">
      <c r="A56" s="167"/>
      <c r="B56" s="75" t="s">
        <v>19</v>
      </c>
      <c r="C56" s="75"/>
      <c r="D56" s="76"/>
      <c r="E56" s="76"/>
      <c r="F56" s="76"/>
      <c r="G56" s="76"/>
      <c r="H56" s="76"/>
      <c r="I56" s="76"/>
      <c r="J56" s="38" t="e">
        <f t="shared" si="89"/>
        <v>#DIV/0!</v>
      </c>
      <c r="K56" s="37"/>
      <c r="L56" s="39" t="e">
        <f t="shared" si="90"/>
        <v>#DIV/0!</v>
      </c>
      <c r="M56" s="39" t="e">
        <f t="shared" si="88"/>
        <v>#DIV/0!</v>
      </c>
      <c r="N56" s="37"/>
      <c r="O56" s="37">
        <f t="shared" si="83"/>
        <v>0</v>
      </c>
      <c r="P56" s="39" t="e">
        <f t="shared" si="10"/>
        <v>#DIV/0!</v>
      </c>
      <c r="Q56" s="78"/>
      <c r="R56" s="78"/>
      <c r="S56" s="386"/>
    </row>
    <row r="57" spans="1:20" s="28" customFormat="1" ht="48" customHeight="1" x14ac:dyDescent="0.35">
      <c r="A57" s="167"/>
      <c r="B57" s="75" t="s">
        <v>22</v>
      </c>
      <c r="C57" s="75"/>
      <c r="D57" s="76"/>
      <c r="E57" s="76"/>
      <c r="F57" s="76"/>
      <c r="G57" s="76"/>
      <c r="H57" s="76"/>
      <c r="I57" s="76"/>
      <c r="J57" s="38" t="e">
        <f t="shared" si="89"/>
        <v>#DIV/0!</v>
      </c>
      <c r="K57" s="37"/>
      <c r="L57" s="39" t="e">
        <f t="shared" si="90"/>
        <v>#DIV/0!</v>
      </c>
      <c r="M57" s="39" t="e">
        <f t="shared" si="88"/>
        <v>#DIV/0!</v>
      </c>
      <c r="N57" s="37"/>
      <c r="O57" s="37">
        <f t="shared" si="83"/>
        <v>0</v>
      </c>
      <c r="P57" s="39" t="e">
        <f t="shared" si="10"/>
        <v>#DIV/0!</v>
      </c>
      <c r="Q57" s="78"/>
      <c r="R57" s="78"/>
      <c r="S57" s="386"/>
    </row>
    <row r="58" spans="1:20" s="28" customFormat="1" ht="48" customHeight="1" x14ac:dyDescent="0.35">
      <c r="A58" s="168"/>
      <c r="B58" s="75" t="s">
        <v>11</v>
      </c>
      <c r="C58" s="75"/>
      <c r="D58" s="76"/>
      <c r="E58" s="76"/>
      <c r="F58" s="76"/>
      <c r="G58" s="76"/>
      <c r="H58" s="79"/>
      <c r="I58" s="76"/>
      <c r="J58" s="38" t="e">
        <f t="shared" si="89"/>
        <v>#DIV/0!</v>
      </c>
      <c r="K58" s="37"/>
      <c r="L58" s="39" t="e">
        <f t="shared" si="90"/>
        <v>#DIV/0!</v>
      </c>
      <c r="M58" s="39" t="e">
        <f t="shared" si="88"/>
        <v>#DIV/0!</v>
      </c>
      <c r="N58" s="37"/>
      <c r="O58" s="60">
        <f t="shared" si="83"/>
        <v>0</v>
      </c>
      <c r="P58" s="39" t="e">
        <f t="shared" si="10"/>
        <v>#DIV/0!</v>
      </c>
      <c r="Q58" s="78"/>
      <c r="R58" s="78"/>
      <c r="S58" s="386"/>
    </row>
    <row r="59" spans="1:20" s="28" customFormat="1" ht="46.5" x14ac:dyDescent="0.35">
      <c r="A59" s="67" t="s">
        <v>64</v>
      </c>
      <c r="B59" s="69" t="s">
        <v>97</v>
      </c>
      <c r="C59" s="69" t="s">
        <v>17</v>
      </c>
      <c r="D59" s="70">
        <f t="shared" ref="D59:I59" si="91">SUM(D60:D64)</f>
        <v>0</v>
      </c>
      <c r="E59" s="70">
        <f t="shared" si="91"/>
        <v>0</v>
      </c>
      <c r="F59" s="70">
        <f t="shared" si="91"/>
        <v>0</v>
      </c>
      <c r="G59" s="70">
        <f t="shared" si="91"/>
        <v>4562060.16</v>
      </c>
      <c r="H59" s="70">
        <f t="shared" si="91"/>
        <v>4562060.16</v>
      </c>
      <c r="I59" s="70">
        <f t="shared" si="91"/>
        <v>1764134</v>
      </c>
      <c r="J59" s="72">
        <f>I59/H59</f>
        <v>0.39</v>
      </c>
      <c r="K59" s="70">
        <f>SUM(K60:K64)</f>
        <v>1757881.09</v>
      </c>
      <c r="L59" s="73">
        <f>K59/H59</f>
        <v>0.39</v>
      </c>
      <c r="M59" s="73">
        <f t="shared" si="88"/>
        <v>1</v>
      </c>
      <c r="N59" s="70">
        <f>SUM(N60:N64)</f>
        <v>4562060.16</v>
      </c>
      <c r="O59" s="70">
        <f t="shared" si="83"/>
        <v>0</v>
      </c>
      <c r="P59" s="73">
        <f t="shared" si="10"/>
        <v>1</v>
      </c>
      <c r="Q59" s="73"/>
      <c r="R59" s="73"/>
      <c r="S59" s="386" t="s">
        <v>414</v>
      </c>
    </row>
    <row r="60" spans="1:20" s="28" customFormat="1" ht="48" customHeight="1" x14ac:dyDescent="0.35">
      <c r="A60" s="167"/>
      <c r="B60" s="75" t="s">
        <v>10</v>
      </c>
      <c r="C60" s="75"/>
      <c r="D60" s="76"/>
      <c r="E60" s="76"/>
      <c r="F60" s="76"/>
      <c r="G60" s="76"/>
      <c r="H60" s="79"/>
      <c r="I60" s="76"/>
      <c r="J60" s="38" t="e">
        <f t="shared" ref="J60:J64" si="92">I60/H60</f>
        <v>#DIV/0!</v>
      </c>
      <c r="K60" s="37"/>
      <c r="L60" s="39" t="e">
        <f t="shared" ref="L60:L64" si="93">K60/H60</f>
        <v>#DIV/0!</v>
      </c>
      <c r="M60" s="39" t="e">
        <f t="shared" si="88"/>
        <v>#DIV/0!</v>
      </c>
      <c r="N60" s="37"/>
      <c r="O60" s="60">
        <f t="shared" si="83"/>
        <v>0</v>
      </c>
      <c r="P60" s="39" t="e">
        <f t="shared" si="10"/>
        <v>#DIV/0!</v>
      </c>
      <c r="Q60" s="78"/>
      <c r="R60" s="78"/>
      <c r="S60" s="386"/>
    </row>
    <row r="61" spans="1:20" s="28" customFormat="1" ht="48" customHeight="1" x14ac:dyDescent="0.35">
      <c r="A61" s="167"/>
      <c r="B61" s="75" t="s">
        <v>8</v>
      </c>
      <c r="C61" s="75"/>
      <c r="D61" s="76"/>
      <c r="E61" s="76"/>
      <c r="F61" s="76"/>
      <c r="G61" s="76">
        <v>4562060.16</v>
      </c>
      <c r="H61" s="76">
        <v>4562060.16</v>
      </c>
      <c r="I61" s="76">
        <v>1764134</v>
      </c>
      <c r="J61" s="77">
        <f t="shared" si="92"/>
        <v>0.39</v>
      </c>
      <c r="K61" s="76">
        <v>1757881.09</v>
      </c>
      <c r="L61" s="78">
        <f t="shared" si="93"/>
        <v>0.39</v>
      </c>
      <c r="M61" s="78">
        <f t="shared" si="88"/>
        <v>1</v>
      </c>
      <c r="N61" s="76">
        <f>H61</f>
        <v>4562060.16</v>
      </c>
      <c r="O61" s="76">
        <f t="shared" si="83"/>
        <v>0</v>
      </c>
      <c r="P61" s="78">
        <f t="shared" si="10"/>
        <v>1</v>
      </c>
      <c r="Q61" s="78"/>
      <c r="R61" s="78"/>
      <c r="S61" s="386"/>
    </row>
    <row r="62" spans="1:20" s="28" customFormat="1" ht="48" customHeight="1" x14ac:dyDescent="0.35">
      <c r="A62" s="167"/>
      <c r="B62" s="75" t="s">
        <v>19</v>
      </c>
      <c r="C62" s="75"/>
      <c r="D62" s="76"/>
      <c r="E62" s="76"/>
      <c r="F62" s="76"/>
      <c r="G62" s="76"/>
      <c r="H62" s="76"/>
      <c r="I62" s="76"/>
      <c r="J62" s="38" t="e">
        <f t="shared" si="92"/>
        <v>#DIV/0!</v>
      </c>
      <c r="K62" s="37"/>
      <c r="L62" s="39" t="e">
        <f t="shared" si="93"/>
        <v>#DIV/0!</v>
      </c>
      <c r="M62" s="39" t="e">
        <f t="shared" si="88"/>
        <v>#DIV/0!</v>
      </c>
      <c r="N62" s="37"/>
      <c r="O62" s="37">
        <f t="shared" si="83"/>
        <v>0</v>
      </c>
      <c r="P62" s="39" t="e">
        <f t="shared" si="10"/>
        <v>#DIV/0!</v>
      </c>
      <c r="Q62" s="78"/>
      <c r="R62" s="78"/>
      <c r="S62" s="386"/>
      <c r="T62" s="185"/>
    </row>
    <row r="63" spans="1:20" s="28" customFormat="1" ht="48" customHeight="1" x14ac:dyDescent="0.35">
      <c r="A63" s="167"/>
      <c r="B63" s="75" t="s">
        <v>22</v>
      </c>
      <c r="C63" s="75"/>
      <c r="D63" s="76"/>
      <c r="E63" s="76"/>
      <c r="F63" s="76"/>
      <c r="G63" s="76"/>
      <c r="H63" s="76"/>
      <c r="I63" s="76"/>
      <c r="J63" s="38" t="e">
        <f t="shared" si="92"/>
        <v>#DIV/0!</v>
      </c>
      <c r="K63" s="37"/>
      <c r="L63" s="39" t="e">
        <f t="shared" si="93"/>
        <v>#DIV/0!</v>
      </c>
      <c r="M63" s="39" t="e">
        <f t="shared" si="88"/>
        <v>#DIV/0!</v>
      </c>
      <c r="N63" s="37"/>
      <c r="O63" s="37">
        <f t="shared" si="83"/>
        <v>0</v>
      </c>
      <c r="P63" s="39" t="e">
        <f t="shared" si="10"/>
        <v>#DIV/0!</v>
      </c>
      <c r="Q63" s="78"/>
      <c r="R63" s="78"/>
      <c r="S63" s="386"/>
    </row>
    <row r="64" spans="1:20" s="28" customFormat="1" ht="48" customHeight="1" x14ac:dyDescent="0.35">
      <c r="A64" s="168"/>
      <c r="B64" s="75" t="s">
        <v>11</v>
      </c>
      <c r="C64" s="75"/>
      <c r="D64" s="76"/>
      <c r="E64" s="76"/>
      <c r="F64" s="76"/>
      <c r="G64" s="76"/>
      <c r="H64" s="79"/>
      <c r="I64" s="76"/>
      <c r="J64" s="38" t="e">
        <f t="shared" si="92"/>
        <v>#DIV/0!</v>
      </c>
      <c r="K64" s="37"/>
      <c r="L64" s="39" t="e">
        <f t="shared" si="93"/>
        <v>#DIV/0!</v>
      </c>
      <c r="M64" s="39" t="e">
        <f t="shared" si="88"/>
        <v>#DIV/0!</v>
      </c>
      <c r="N64" s="37"/>
      <c r="O64" s="60">
        <f t="shared" si="83"/>
        <v>0</v>
      </c>
      <c r="P64" s="39" t="e">
        <f t="shared" si="10"/>
        <v>#DIV/0!</v>
      </c>
      <c r="Q64" s="78"/>
      <c r="R64" s="78"/>
      <c r="S64" s="386"/>
    </row>
    <row r="65" spans="1:20" s="28" customFormat="1" ht="225.75" customHeight="1" x14ac:dyDescent="0.35">
      <c r="A65" s="67" t="s">
        <v>65</v>
      </c>
      <c r="B65" s="69" t="s">
        <v>194</v>
      </c>
      <c r="C65" s="69" t="s">
        <v>17</v>
      </c>
      <c r="D65" s="70">
        <f t="shared" ref="D65:I65" si="94">SUM(D66:D70)</f>
        <v>0</v>
      </c>
      <c r="E65" s="70">
        <f t="shared" si="94"/>
        <v>0</v>
      </c>
      <c r="F65" s="70">
        <f t="shared" si="94"/>
        <v>0</v>
      </c>
      <c r="G65" s="70">
        <f t="shared" si="94"/>
        <v>302808</v>
      </c>
      <c r="H65" s="70">
        <f t="shared" si="94"/>
        <v>302808</v>
      </c>
      <c r="I65" s="70">
        <f t="shared" si="94"/>
        <v>99894</v>
      </c>
      <c r="J65" s="72">
        <f>I65/H65</f>
        <v>0.33</v>
      </c>
      <c r="K65" s="70">
        <f>SUM(K66:K70)</f>
        <v>76848.56</v>
      </c>
      <c r="L65" s="73">
        <f>K65/H65</f>
        <v>0.25</v>
      </c>
      <c r="M65" s="73">
        <f t="shared" ref="M65:M82" si="95">K65/I65</f>
        <v>0.77</v>
      </c>
      <c r="N65" s="70">
        <f>SUM(N66:N70)</f>
        <v>262695</v>
      </c>
      <c r="O65" s="70">
        <f t="shared" ref="O65:O70" si="96">H65-N65</f>
        <v>40113</v>
      </c>
      <c r="P65" s="73">
        <f t="shared" si="10"/>
        <v>0.87</v>
      </c>
      <c r="Q65" s="165"/>
      <c r="R65" s="165"/>
      <c r="S65" s="372" t="s">
        <v>484</v>
      </c>
    </row>
    <row r="66" spans="1:20" s="28" customFormat="1" ht="124.5" customHeight="1" x14ac:dyDescent="0.35">
      <c r="A66" s="167"/>
      <c r="B66" s="75" t="s">
        <v>10</v>
      </c>
      <c r="C66" s="75"/>
      <c r="D66" s="76"/>
      <c r="E66" s="76"/>
      <c r="F66" s="76"/>
      <c r="G66" s="76"/>
      <c r="H66" s="79"/>
      <c r="I66" s="76"/>
      <c r="J66" s="38" t="e">
        <f t="shared" ref="J66:J70" si="97">I66/H66</f>
        <v>#DIV/0!</v>
      </c>
      <c r="K66" s="37"/>
      <c r="L66" s="39" t="e">
        <f t="shared" ref="L66:L70" si="98">K66/H66</f>
        <v>#DIV/0!</v>
      </c>
      <c r="M66" s="39" t="e">
        <f t="shared" si="95"/>
        <v>#DIV/0!</v>
      </c>
      <c r="N66" s="37"/>
      <c r="O66" s="60">
        <f t="shared" si="96"/>
        <v>0</v>
      </c>
      <c r="P66" s="39" t="e">
        <f t="shared" si="10"/>
        <v>#DIV/0!</v>
      </c>
      <c r="Q66" s="149"/>
      <c r="R66" s="149"/>
      <c r="S66" s="373"/>
    </row>
    <row r="67" spans="1:20" s="28" customFormat="1" ht="124.5" customHeight="1" x14ac:dyDescent="0.35">
      <c r="A67" s="167"/>
      <c r="B67" s="75" t="s">
        <v>8</v>
      </c>
      <c r="C67" s="75"/>
      <c r="D67" s="76"/>
      <c r="E67" s="76"/>
      <c r="F67" s="76"/>
      <c r="G67" s="76">
        <v>302808</v>
      </c>
      <c r="H67" s="76">
        <v>302808</v>
      </c>
      <c r="I67" s="76">
        <v>99894</v>
      </c>
      <c r="J67" s="77">
        <f t="shared" si="97"/>
        <v>0.33</v>
      </c>
      <c r="K67" s="76">
        <v>76848.56</v>
      </c>
      <c r="L67" s="78">
        <f t="shared" si="98"/>
        <v>0.25</v>
      </c>
      <c r="M67" s="78">
        <f t="shared" si="95"/>
        <v>0.77</v>
      </c>
      <c r="N67" s="76">
        <f>H67-40113</f>
        <v>262695</v>
      </c>
      <c r="O67" s="76">
        <f>H67-N67</f>
        <v>40113</v>
      </c>
      <c r="P67" s="78">
        <f t="shared" si="10"/>
        <v>0.87</v>
      </c>
      <c r="Q67" s="149"/>
      <c r="R67" s="149"/>
      <c r="S67" s="373"/>
    </row>
    <row r="68" spans="1:20" s="28" customFormat="1" ht="124.5" customHeight="1" x14ac:dyDescent="0.35">
      <c r="A68" s="167"/>
      <c r="B68" s="75" t="s">
        <v>19</v>
      </c>
      <c r="C68" s="75"/>
      <c r="D68" s="76"/>
      <c r="E68" s="76"/>
      <c r="F68" s="76"/>
      <c r="G68" s="76"/>
      <c r="H68" s="76"/>
      <c r="I68" s="76"/>
      <c r="J68" s="38" t="e">
        <f t="shared" si="97"/>
        <v>#DIV/0!</v>
      </c>
      <c r="K68" s="37"/>
      <c r="L68" s="39" t="e">
        <f t="shared" si="98"/>
        <v>#DIV/0!</v>
      </c>
      <c r="M68" s="39" t="e">
        <f t="shared" si="95"/>
        <v>#DIV/0!</v>
      </c>
      <c r="N68" s="37"/>
      <c r="O68" s="37">
        <f t="shared" si="96"/>
        <v>0</v>
      </c>
      <c r="P68" s="39" t="e">
        <f t="shared" si="10"/>
        <v>#DIV/0!</v>
      </c>
      <c r="Q68" s="149"/>
      <c r="R68" s="149"/>
      <c r="S68" s="373"/>
    </row>
    <row r="69" spans="1:20" s="28" customFormat="1" ht="169.5" customHeight="1" x14ac:dyDescent="0.35">
      <c r="A69" s="167"/>
      <c r="B69" s="75" t="s">
        <v>22</v>
      </c>
      <c r="C69" s="75"/>
      <c r="D69" s="76"/>
      <c r="E69" s="76"/>
      <c r="F69" s="76"/>
      <c r="G69" s="76"/>
      <c r="H69" s="76"/>
      <c r="I69" s="76"/>
      <c r="J69" s="38" t="e">
        <f t="shared" si="97"/>
        <v>#DIV/0!</v>
      </c>
      <c r="K69" s="37"/>
      <c r="L69" s="39" t="e">
        <f t="shared" si="98"/>
        <v>#DIV/0!</v>
      </c>
      <c r="M69" s="39" t="e">
        <f t="shared" si="95"/>
        <v>#DIV/0!</v>
      </c>
      <c r="N69" s="37"/>
      <c r="O69" s="37">
        <f t="shared" si="96"/>
        <v>0</v>
      </c>
      <c r="P69" s="39" t="e">
        <f t="shared" si="10"/>
        <v>#DIV/0!</v>
      </c>
      <c r="Q69" s="149"/>
      <c r="R69" s="149"/>
      <c r="S69" s="373"/>
    </row>
    <row r="70" spans="1:20" s="28" customFormat="1" ht="187.5" customHeight="1" x14ac:dyDescent="0.35">
      <c r="A70" s="168"/>
      <c r="B70" s="75" t="s">
        <v>11</v>
      </c>
      <c r="C70" s="75"/>
      <c r="D70" s="76"/>
      <c r="E70" s="76"/>
      <c r="F70" s="76"/>
      <c r="G70" s="76"/>
      <c r="H70" s="79"/>
      <c r="I70" s="76"/>
      <c r="J70" s="38" t="e">
        <f t="shared" si="97"/>
        <v>#DIV/0!</v>
      </c>
      <c r="K70" s="37"/>
      <c r="L70" s="39" t="e">
        <f t="shared" si="98"/>
        <v>#DIV/0!</v>
      </c>
      <c r="M70" s="39" t="e">
        <f t="shared" si="95"/>
        <v>#DIV/0!</v>
      </c>
      <c r="N70" s="37"/>
      <c r="O70" s="60">
        <f t="shared" si="96"/>
        <v>0</v>
      </c>
      <c r="P70" s="39" t="e">
        <f t="shared" si="10"/>
        <v>#DIV/0!</v>
      </c>
      <c r="Q70" s="84"/>
      <c r="R70" s="84"/>
      <c r="S70" s="374"/>
      <c r="T70" s="185"/>
    </row>
    <row r="71" spans="1:20" s="28" customFormat="1" ht="109.5" customHeight="1" x14ac:dyDescent="0.35">
      <c r="A71" s="67" t="s">
        <v>67</v>
      </c>
      <c r="B71" s="69" t="s">
        <v>195</v>
      </c>
      <c r="C71" s="69" t="s">
        <v>17</v>
      </c>
      <c r="D71" s="70">
        <f t="shared" ref="D71:I71" si="99">SUM(D72:D76)</f>
        <v>0</v>
      </c>
      <c r="E71" s="70">
        <f t="shared" si="99"/>
        <v>0</v>
      </c>
      <c r="F71" s="70">
        <f t="shared" si="99"/>
        <v>0</v>
      </c>
      <c r="G71" s="70">
        <f t="shared" si="99"/>
        <v>4510.8</v>
      </c>
      <c r="H71" s="70">
        <f t="shared" si="99"/>
        <v>4510.8</v>
      </c>
      <c r="I71" s="70">
        <f t="shared" si="99"/>
        <v>1393</v>
      </c>
      <c r="J71" s="72">
        <f>I71/H71</f>
        <v>0.31</v>
      </c>
      <c r="K71" s="70">
        <f>SUM(K72:K76)</f>
        <v>1243.74</v>
      </c>
      <c r="L71" s="73">
        <f>K71/H71</f>
        <v>0.28000000000000003</v>
      </c>
      <c r="M71" s="73">
        <f t="shared" si="95"/>
        <v>0.89</v>
      </c>
      <c r="N71" s="70">
        <f>SUM(N72:N76)</f>
        <v>4288.67</v>
      </c>
      <c r="O71" s="70">
        <f t="shared" si="83"/>
        <v>222.13</v>
      </c>
      <c r="P71" s="73">
        <f t="shared" si="10"/>
        <v>0.95</v>
      </c>
      <c r="Q71" s="165"/>
      <c r="R71" s="165"/>
      <c r="S71" s="372" t="s">
        <v>416</v>
      </c>
    </row>
    <row r="72" spans="1:20" s="28" customFormat="1" ht="36.75" customHeight="1" x14ac:dyDescent="0.35">
      <c r="A72" s="167"/>
      <c r="B72" s="75" t="s">
        <v>10</v>
      </c>
      <c r="C72" s="75"/>
      <c r="D72" s="76"/>
      <c r="E72" s="76"/>
      <c r="F72" s="76"/>
      <c r="G72" s="76"/>
      <c r="H72" s="79"/>
      <c r="I72" s="76"/>
      <c r="J72" s="38" t="e">
        <f t="shared" ref="J72:J82" si="100">I72/H72</f>
        <v>#DIV/0!</v>
      </c>
      <c r="K72" s="37"/>
      <c r="L72" s="39" t="e">
        <f t="shared" ref="L72:L82" si="101">K72/H72</f>
        <v>#DIV/0!</v>
      </c>
      <c r="M72" s="39" t="e">
        <f t="shared" si="95"/>
        <v>#DIV/0!</v>
      </c>
      <c r="N72" s="37"/>
      <c r="O72" s="60">
        <f t="shared" si="83"/>
        <v>0</v>
      </c>
      <c r="P72" s="39" t="e">
        <f t="shared" si="10"/>
        <v>#DIV/0!</v>
      </c>
      <c r="Q72" s="149"/>
      <c r="R72" s="149"/>
      <c r="S72" s="373"/>
    </row>
    <row r="73" spans="1:20" s="28" customFormat="1" ht="36.75" customHeight="1" x14ac:dyDescent="0.35">
      <c r="A73" s="167"/>
      <c r="B73" s="75" t="s">
        <v>8</v>
      </c>
      <c r="C73" s="75"/>
      <c r="D73" s="76"/>
      <c r="E73" s="76"/>
      <c r="F73" s="76"/>
      <c r="G73" s="76">
        <v>4510.8</v>
      </c>
      <c r="H73" s="76">
        <v>4510.8</v>
      </c>
      <c r="I73" s="76">
        <v>1393</v>
      </c>
      <c r="J73" s="77">
        <f t="shared" si="100"/>
        <v>0.31</v>
      </c>
      <c r="K73" s="76">
        <v>1243.74</v>
      </c>
      <c r="L73" s="78">
        <f t="shared" si="101"/>
        <v>0.28000000000000003</v>
      </c>
      <c r="M73" s="78">
        <f t="shared" si="95"/>
        <v>0.89</v>
      </c>
      <c r="N73" s="76">
        <v>4288.67</v>
      </c>
      <c r="O73" s="76">
        <f t="shared" si="83"/>
        <v>222.13</v>
      </c>
      <c r="P73" s="78">
        <f t="shared" si="10"/>
        <v>0.95</v>
      </c>
      <c r="Q73" s="149"/>
      <c r="R73" s="149"/>
      <c r="S73" s="373"/>
    </row>
    <row r="74" spans="1:20" s="28" customFormat="1" ht="36.75" customHeight="1" x14ac:dyDescent="0.35">
      <c r="A74" s="167"/>
      <c r="B74" s="75" t="s">
        <v>19</v>
      </c>
      <c r="C74" s="75"/>
      <c r="D74" s="76"/>
      <c r="E74" s="76"/>
      <c r="F74" s="76"/>
      <c r="G74" s="76"/>
      <c r="H74" s="76"/>
      <c r="I74" s="76"/>
      <c r="J74" s="38" t="e">
        <f t="shared" si="100"/>
        <v>#DIV/0!</v>
      </c>
      <c r="K74" s="37"/>
      <c r="L74" s="39" t="e">
        <f t="shared" si="101"/>
        <v>#DIV/0!</v>
      </c>
      <c r="M74" s="39" t="e">
        <f t="shared" si="95"/>
        <v>#DIV/0!</v>
      </c>
      <c r="N74" s="37"/>
      <c r="O74" s="37">
        <f t="shared" si="83"/>
        <v>0</v>
      </c>
      <c r="P74" s="39" t="e">
        <f t="shared" si="10"/>
        <v>#DIV/0!</v>
      </c>
      <c r="Q74" s="149"/>
      <c r="R74" s="149"/>
      <c r="S74" s="373"/>
    </row>
    <row r="75" spans="1:20" s="28" customFormat="1" ht="36.75" customHeight="1" x14ac:dyDescent="0.35">
      <c r="A75" s="167"/>
      <c r="B75" s="75" t="s">
        <v>22</v>
      </c>
      <c r="C75" s="75"/>
      <c r="D75" s="76"/>
      <c r="E75" s="76"/>
      <c r="F75" s="76"/>
      <c r="G75" s="76"/>
      <c r="H75" s="76"/>
      <c r="I75" s="76"/>
      <c r="J75" s="38" t="e">
        <f t="shared" si="100"/>
        <v>#DIV/0!</v>
      </c>
      <c r="K75" s="37"/>
      <c r="L75" s="39" t="e">
        <f t="shared" si="101"/>
        <v>#DIV/0!</v>
      </c>
      <c r="M75" s="39" t="e">
        <f t="shared" si="95"/>
        <v>#DIV/0!</v>
      </c>
      <c r="N75" s="37"/>
      <c r="O75" s="37">
        <f t="shared" si="83"/>
        <v>0</v>
      </c>
      <c r="P75" s="39" t="e">
        <f t="shared" ref="P75:P82" si="102">N75/H75</f>
        <v>#DIV/0!</v>
      </c>
      <c r="Q75" s="149"/>
      <c r="R75" s="149"/>
      <c r="S75" s="373"/>
    </row>
    <row r="76" spans="1:20" s="28" customFormat="1" ht="14.25" customHeight="1" x14ac:dyDescent="0.35">
      <c r="A76" s="168"/>
      <c r="B76" s="75" t="s">
        <v>11</v>
      </c>
      <c r="C76" s="75"/>
      <c r="D76" s="76"/>
      <c r="E76" s="76"/>
      <c r="F76" s="76"/>
      <c r="G76" s="76"/>
      <c r="H76" s="79"/>
      <c r="I76" s="76"/>
      <c r="J76" s="38" t="e">
        <f t="shared" si="100"/>
        <v>#DIV/0!</v>
      </c>
      <c r="K76" s="37"/>
      <c r="L76" s="39" t="e">
        <f t="shared" si="101"/>
        <v>#DIV/0!</v>
      </c>
      <c r="M76" s="39" t="e">
        <f t="shared" si="95"/>
        <v>#DIV/0!</v>
      </c>
      <c r="N76" s="37"/>
      <c r="O76" s="60">
        <f t="shared" si="83"/>
        <v>0</v>
      </c>
      <c r="P76" s="39" t="e">
        <f t="shared" si="102"/>
        <v>#DIV/0!</v>
      </c>
      <c r="Q76" s="84"/>
      <c r="R76" s="84"/>
      <c r="S76" s="374"/>
    </row>
    <row r="77" spans="1:20" s="28" customFormat="1" ht="181.5" customHeight="1" x14ac:dyDescent="0.35">
      <c r="A77" s="67" t="s">
        <v>73</v>
      </c>
      <c r="B77" s="69" t="s">
        <v>257</v>
      </c>
      <c r="C77" s="69" t="s">
        <v>17</v>
      </c>
      <c r="D77" s="76"/>
      <c r="E77" s="76"/>
      <c r="F77" s="76"/>
      <c r="G77" s="76">
        <f>SUM(G78:G82)</f>
        <v>154363</v>
      </c>
      <c r="H77" s="76">
        <f t="shared" ref="H77:I77" si="103">SUM(H78:H82)</f>
        <v>154363</v>
      </c>
      <c r="I77" s="76">
        <f t="shared" si="103"/>
        <v>66800</v>
      </c>
      <c r="J77" s="77">
        <f t="shared" si="100"/>
        <v>0.43</v>
      </c>
      <c r="K77" s="76">
        <f>SUM(K78:K82)</f>
        <v>59173.47</v>
      </c>
      <c r="L77" s="78">
        <f t="shared" si="101"/>
        <v>0.38</v>
      </c>
      <c r="M77" s="78">
        <f t="shared" si="95"/>
        <v>0.89</v>
      </c>
      <c r="N77" s="76">
        <f>SUM(N78:N82)</f>
        <v>154363</v>
      </c>
      <c r="O77" s="76">
        <f>SUM(O78:O82)</f>
        <v>0</v>
      </c>
      <c r="P77" s="78">
        <f t="shared" si="102"/>
        <v>1</v>
      </c>
      <c r="Q77" s="186"/>
      <c r="R77" s="186"/>
      <c r="S77" s="372" t="s">
        <v>415</v>
      </c>
    </row>
    <row r="78" spans="1:20" s="28" customFormat="1" ht="42" customHeight="1" x14ac:dyDescent="0.35">
      <c r="A78" s="167"/>
      <c r="B78" s="75" t="s">
        <v>10</v>
      </c>
      <c r="C78" s="75"/>
      <c r="D78" s="76"/>
      <c r="E78" s="76"/>
      <c r="F78" s="76"/>
      <c r="G78" s="76"/>
      <c r="H78" s="76"/>
      <c r="I78" s="76"/>
      <c r="J78" s="38" t="e">
        <f t="shared" si="100"/>
        <v>#DIV/0!</v>
      </c>
      <c r="K78" s="37"/>
      <c r="L78" s="39" t="e">
        <f t="shared" si="101"/>
        <v>#DIV/0!</v>
      </c>
      <c r="M78" s="39" t="e">
        <f t="shared" si="95"/>
        <v>#DIV/0!</v>
      </c>
      <c r="N78" s="37"/>
      <c r="O78" s="37"/>
      <c r="P78" s="39" t="e">
        <f t="shared" si="102"/>
        <v>#DIV/0!</v>
      </c>
      <c r="Q78" s="149"/>
      <c r="R78" s="149"/>
      <c r="S78" s="373"/>
    </row>
    <row r="79" spans="1:20" s="28" customFormat="1" ht="42" customHeight="1" x14ac:dyDescent="0.35">
      <c r="A79" s="167"/>
      <c r="B79" s="75" t="s">
        <v>8</v>
      </c>
      <c r="C79" s="75"/>
      <c r="D79" s="76"/>
      <c r="E79" s="76"/>
      <c r="F79" s="76"/>
      <c r="G79" s="76">
        <v>154363</v>
      </c>
      <c r="H79" s="76">
        <v>154363</v>
      </c>
      <c r="I79" s="76">
        <v>66800</v>
      </c>
      <c r="J79" s="77">
        <f t="shared" si="100"/>
        <v>0.43</v>
      </c>
      <c r="K79" s="76">
        <v>59173.47</v>
      </c>
      <c r="L79" s="78">
        <f t="shared" si="101"/>
        <v>0.38</v>
      </c>
      <c r="M79" s="78">
        <f t="shared" si="95"/>
        <v>0.89</v>
      </c>
      <c r="N79" s="76">
        <f>H79</f>
        <v>154363</v>
      </c>
      <c r="O79" s="76">
        <f>H79-N79</f>
        <v>0</v>
      </c>
      <c r="P79" s="78">
        <f t="shared" si="102"/>
        <v>1</v>
      </c>
      <c r="Q79" s="149"/>
      <c r="R79" s="149"/>
      <c r="S79" s="373"/>
    </row>
    <row r="80" spans="1:20" s="28" customFormat="1" ht="42" customHeight="1" x14ac:dyDescent="0.35">
      <c r="A80" s="167"/>
      <c r="B80" s="75" t="s">
        <v>19</v>
      </c>
      <c r="C80" s="75"/>
      <c r="D80" s="76"/>
      <c r="E80" s="76"/>
      <c r="F80" s="76"/>
      <c r="G80" s="76"/>
      <c r="H80" s="76"/>
      <c r="I80" s="76"/>
      <c r="J80" s="38" t="e">
        <f t="shared" si="100"/>
        <v>#DIV/0!</v>
      </c>
      <c r="K80" s="37"/>
      <c r="L80" s="39" t="e">
        <f t="shared" si="101"/>
        <v>#DIV/0!</v>
      </c>
      <c r="M80" s="39" t="e">
        <f t="shared" si="95"/>
        <v>#DIV/0!</v>
      </c>
      <c r="N80" s="37"/>
      <c r="O80" s="37"/>
      <c r="P80" s="39" t="e">
        <f t="shared" si="102"/>
        <v>#DIV/0!</v>
      </c>
      <c r="Q80" s="149"/>
      <c r="R80" s="149"/>
      <c r="S80" s="373"/>
    </row>
    <row r="81" spans="1:19" s="28" customFormat="1" ht="42" customHeight="1" x14ac:dyDescent="0.35">
      <c r="A81" s="167"/>
      <c r="B81" s="75" t="s">
        <v>22</v>
      </c>
      <c r="C81" s="75"/>
      <c r="D81" s="76"/>
      <c r="E81" s="76"/>
      <c r="F81" s="76"/>
      <c r="G81" s="76"/>
      <c r="H81" s="76"/>
      <c r="I81" s="76"/>
      <c r="J81" s="38" t="e">
        <f t="shared" si="100"/>
        <v>#DIV/0!</v>
      </c>
      <c r="K81" s="37"/>
      <c r="L81" s="39" t="e">
        <f t="shared" si="101"/>
        <v>#DIV/0!</v>
      </c>
      <c r="M81" s="39" t="e">
        <f t="shared" si="95"/>
        <v>#DIV/0!</v>
      </c>
      <c r="N81" s="37"/>
      <c r="O81" s="37"/>
      <c r="P81" s="39" t="e">
        <f t="shared" si="102"/>
        <v>#DIV/0!</v>
      </c>
      <c r="Q81" s="149"/>
      <c r="R81" s="149"/>
      <c r="S81" s="373"/>
    </row>
    <row r="82" spans="1:19" s="28" customFormat="1" ht="28.5" customHeight="1" x14ac:dyDescent="0.35">
      <c r="A82" s="168"/>
      <c r="B82" s="75" t="s">
        <v>11</v>
      </c>
      <c r="C82" s="75"/>
      <c r="D82" s="76"/>
      <c r="E82" s="76"/>
      <c r="F82" s="76"/>
      <c r="G82" s="76"/>
      <c r="H82" s="76"/>
      <c r="I82" s="76"/>
      <c r="J82" s="38" t="e">
        <f t="shared" si="100"/>
        <v>#DIV/0!</v>
      </c>
      <c r="K82" s="37"/>
      <c r="L82" s="39" t="e">
        <f t="shared" si="101"/>
        <v>#DIV/0!</v>
      </c>
      <c r="M82" s="39" t="e">
        <f t="shared" si="95"/>
        <v>#DIV/0!</v>
      </c>
      <c r="N82" s="37"/>
      <c r="O82" s="37"/>
      <c r="P82" s="39" t="e">
        <f t="shared" si="102"/>
        <v>#DIV/0!</v>
      </c>
      <c r="Q82" s="84"/>
      <c r="R82" s="84"/>
      <c r="S82" s="374"/>
    </row>
    <row r="83" spans="1:19" s="28" customFormat="1" ht="186" x14ac:dyDescent="0.35">
      <c r="A83" s="67" t="s">
        <v>113</v>
      </c>
      <c r="B83" s="69" t="s">
        <v>251</v>
      </c>
      <c r="C83" s="69" t="s">
        <v>17</v>
      </c>
      <c r="D83" s="76"/>
      <c r="E83" s="76"/>
      <c r="F83" s="76"/>
      <c r="G83" s="76">
        <f>SUM(G84:G88)</f>
        <v>21996</v>
      </c>
      <c r="H83" s="76">
        <f t="shared" ref="H83:I83" si="104">SUM(H84:H88)</f>
        <v>21996</v>
      </c>
      <c r="I83" s="76">
        <f t="shared" si="104"/>
        <v>11205</v>
      </c>
      <c r="J83" s="77">
        <f t="shared" ref="J83:J88" si="105">I83/H83</f>
        <v>0.51</v>
      </c>
      <c r="K83" s="76">
        <f>SUM(K84:K88)</f>
        <v>11122.34</v>
      </c>
      <c r="L83" s="78">
        <f t="shared" ref="L83:L88" si="106">K83/H83</f>
        <v>0.51</v>
      </c>
      <c r="M83" s="78">
        <f t="shared" ref="M83:M88" si="107">K83/I83</f>
        <v>0.99</v>
      </c>
      <c r="N83" s="76">
        <f>SUM(N84:N88)</f>
        <v>21996</v>
      </c>
      <c r="O83" s="76">
        <f>SUM(O84:O88)</f>
        <v>0</v>
      </c>
      <c r="P83" s="78">
        <f t="shared" ref="P83:P88" si="108">N83/H83</f>
        <v>1</v>
      </c>
      <c r="Q83" s="186"/>
      <c r="R83" s="186"/>
      <c r="S83" s="372" t="s">
        <v>417</v>
      </c>
    </row>
    <row r="84" spans="1:19" s="28" customFormat="1" ht="30.75" customHeight="1" x14ac:dyDescent="0.35">
      <c r="A84" s="167"/>
      <c r="B84" s="75" t="s">
        <v>10</v>
      </c>
      <c r="C84" s="75"/>
      <c r="D84" s="76"/>
      <c r="E84" s="76"/>
      <c r="F84" s="76"/>
      <c r="G84" s="76"/>
      <c r="H84" s="76"/>
      <c r="I84" s="76"/>
      <c r="J84" s="38" t="e">
        <f t="shared" si="105"/>
        <v>#DIV/0!</v>
      </c>
      <c r="K84" s="37"/>
      <c r="L84" s="39" t="e">
        <f t="shared" si="106"/>
        <v>#DIV/0!</v>
      </c>
      <c r="M84" s="39" t="e">
        <f t="shared" si="107"/>
        <v>#DIV/0!</v>
      </c>
      <c r="N84" s="37"/>
      <c r="O84" s="37"/>
      <c r="P84" s="39" t="e">
        <f t="shared" si="108"/>
        <v>#DIV/0!</v>
      </c>
      <c r="Q84" s="149"/>
      <c r="R84" s="149"/>
      <c r="S84" s="373"/>
    </row>
    <row r="85" spans="1:19" s="28" customFormat="1" ht="30.75" customHeight="1" x14ac:dyDescent="0.35">
      <c r="A85" s="167"/>
      <c r="B85" s="75" t="s">
        <v>8</v>
      </c>
      <c r="C85" s="75"/>
      <c r="D85" s="76"/>
      <c r="E85" s="76"/>
      <c r="F85" s="76"/>
      <c r="G85" s="76">
        <v>21996</v>
      </c>
      <c r="H85" s="76">
        <v>21996</v>
      </c>
      <c r="I85" s="76">
        <v>11205</v>
      </c>
      <c r="J85" s="77">
        <f t="shared" si="105"/>
        <v>0.51</v>
      </c>
      <c r="K85" s="76">
        <v>11122.34</v>
      </c>
      <c r="L85" s="78">
        <f t="shared" si="106"/>
        <v>0.51</v>
      </c>
      <c r="M85" s="78">
        <f t="shared" si="107"/>
        <v>0.99</v>
      </c>
      <c r="N85" s="76">
        <f>H85</f>
        <v>21996</v>
      </c>
      <c r="O85" s="76">
        <f>H85-N85</f>
        <v>0</v>
      </c>
      <c r="P85" s="78">
        <f t="shared" si="108"/>
        <v>1</v>
      </c>
      <c r="Q85" s="149"/>
      <c r="R85" s="149"/>
      <c r="S85" s="373"/>
    </row>
    <row r="86" spans="1:19" s="28" customFormat="1" ht="30.75" customHeight="1" x14ac:dyDescent="0.35">
      <c r="A86" s="167"/>
      <c r="B86" s="75" t="s">
        <v>19</v>
      </c>
      <c r="C86" s="75"/>
      <c r="D86" s="76"/>
      <c r="E86" s="76"/>
      <c r="F86" s="76"/>
      <c r="G86" s="76"/>
      <c r="H86" s="76"/>
      <c r="I86" s="76"/>
      <c r="J86" s="38" t="e">
        <f t="shared" si="105"/>
        <v>#DIV/0!</v>
      </c>
      <c r="K86" s="37"/>
      <c r="L86" s="39" t="e">
        <f t="shared" si="106"/>
        <v>#DIV/0!</v>
      </c>
      <c r="M86" s="39" t="e">
        <f t="shared" si="107"/>
        <v>#DIV/0!</v>
      </c>
      <c r="N86" s="37"/>
      <c r="O86" s="37"/>
      <c r="P86" s="39" t="e">
        <f t="shared" si="108"/>
        <v>#DIV/0!</v>
      </c>
      <c r="Q86" s="149"/>
      <c r="R86" s="149"/>
      <c r="S86" s="373"/>
    </row>
    <row r="87" spans="1:19" s="28" customFormat="1" ht="30.75" customHeight="1" x14ac:dyDescent="0.35">
      <c r="A87" s="167"/>
      <c r="B87" s="75" t="s">
        <v>22</v>
      </c>
      <c r="C87" s="75"/>
      <c r="D87" s="76"/>
      <c r="E87" s="76"/>
      <c r="F87" s="76"/>
      <c r="G87" s="76"/>
      <c r="H87" s="76"/>
      <c r="I87" s="76"/>
      <c r="J87" s="38" t="e">
        <f t="shared" si="105"/>
        <v>#DIV/0!</v>
      </c>
      <c r="K87" s="37"/>
      <c r="L87" s="39" t="e">
        <f t="shared" si="106"/>
        <v>#DIV/0!</v>
      </c>
      <c r="M87" s="39" t="e">
        <f t="shared" si="107"/>
        <v>#DIV/0!</v>
      </c>
      <c r="N87" s="37"/>
      <c r="O87" s="37"/>
      <c r="P87" s="39" t="e">
        <f t="shared" si="108"/>
        <v>#DIV/0!</v>
      </c>
      <c r="Q87" s="149"/>
      <c r="R87" s="149"/>
      <c r="S87" s="373"/>
    </row>
    <row r="88" spans="1:19" s="28" customFormat="1" ht="30.75" customHeight="1" x14ac:dyDescent="0.35">
      <c r="A88" s="168"/>
      <c r="B88" s="75" t="s">
        <v>11</v>
      </c>
      <c r="C88" s="75"/>
      <c r="D88" s="76"/>
      <c r="E88" s="76"/>
      <c r="F88" s="76"/>
      <c r="G88" s="76"/>
      <c r="H88" s="76"/>
      <c r="I88" s="76"/>
      <c r="J88" s="38" t="e">
        <f t="shared" si="105"/>
        <v>#DIV/0!</v>
      </c>
      <c r="K88" s="37"/>
      <c r="L88" s="39" t="e">
        <f t="shared" si="106"/>
        <v>#DIV/0!</v>
      </c>
      <c r="M88" s="39" t="e">
        <f t="shared" si="107"/>
        <v>#DIV/0!</v>
      </c>
      <c r="N88" s="37"/>
      <c r="O88" s="37"/>
      <c r="P88" s="39" t="e">
        <f t="shared" si="108"/>
        <v>#DIV/0!</v>
      </c>
      <c r="Q88" s="84"/>
      <c r="R88" s="84"/>
      <c r="S88" s="374"/>
    </row>
    <row r="89" spans="1:19" s="28" customFormat="1" ht="46.5" x14ac:dyDescent="0.35">
      <c r="A89" s="67" t="s">
        <v>206</v>
      </c>
      <c r="B89" s="69" t="s">
        <v>183</v>
      </c>
      <c r="C89" s="69" t="s">
        <v>17</v>
      </c>
      <c r="D89" s="70">
        <f t="shared" ref="D89:I89" si="109">SUM(D90:D94)</f>
        <v>0</v>
      </c>
      <c r="E89" s="70">
        <f t="shared" si="109"/>
        <v>0</v>
      </c>
      <c r="F89" s="70">
        <f t="shared" si="109"/>
        <v>0</v>
      </c>
      <c r="G89" s="70">
        <f>SUM(G90:G94)</f>
        <v>11038.76</v>
      </c>
      <c r="H89" s="70">
        <f t="shared" si="109"/>
        <v>11038.76</v>
      </c>
      <c r="I89" s="70">
        <f t="shared" si="109"/>
        <v>0</v>
      </c>
      <c r="J89" s="72">
        <f>I89/H89</f>
        <v>0</v>
      </c>
      <c r="K89" s="70">
        <f>SUM(K90:K94)</f>
        <v>0</v>
      </c>
      <c r="L89" s="73">
        <f>K89/H89</f>
        <v>0</v>
      </c>
      <c r="M89" s="56" t="e">
        <f t="shared" ref="M89:M106" si="110">K89/I89</f>
        <v>#DIV/0!</v>
      </c>
      <c r="N89" s="70">
        <f t="shared" ref="N89:O89" si="111">SUM(N90:N94)</f>
        <v>11038.76</v>
      </c>
      <c r="O89" s="70">
        <f t="shared" si="111"/>
        <v>0</v>
      </c>
      <c r="P89" s="73">
        <f t="shared" ref="P89:P118" si="112">N89/H89</f>
        <v>1</v>
      </c>
      <c r="Q89" s="165"/>
      <c r="R89" s="165"/>
      <c r="S89" s="372"/>
    </row>
    <row r="90" spans="1:19" s="28" customFormat="1" ht="30.75" customHeight="1" x14ac:dyDescent="0.35">
      <c r="A90" s="167"/>
      <c r="B90" s="75" t="s">
        <v>10</v>
      </c>
      <c r="C90" s="75"/>
      <c r="D90" s="76"/>
      <c r="E90" s="76"/>
      <c r="F90" s="76"/>
      <c r="G90" s="76">
        <f>G96+G102</f>
        <v>0</v>
      </c>
      <c r="H90" s="76">
        <f t="shared" ref="H90:I90" si="113">H96+H102</f>
        <v>0</v>
      </c>
      <c r="I90" s="76">
        <f t="shared" si="113"/>
        <v>0</v>
      </c>
      <c r="J90" s="38" t="e">
        <f>I90/H90</f>
        <v>#DIV/0!</v>
      </c>
      <c r="K90" s="37">
        <f t="shared" ref="K90" si="114">K96+K102</f>
        <v>0</v>
      </c>
      <c r="L90" s="39" t="e">
        <f t="shared" ref="L90:L94" si="115">K90/H90</f>
        <v>#DIV/0!</v>
      </c>
      <c r="M90" s="39" t="e">
        <f t="shared" si="110"/>
        <v>#DIV/0!</v>
      </c>
      <c r="N90" s="37">
        <f>N96+N102</f>
        <v>0</v>
      </c>
      <c r="O90" s="37">
        <f>H90-N90</f>
        <v>0</v>
      </c>
      <c r="P90" s="39" t="e">
        <f t="shared" si="112"/>
        <v>#DIV/0!</v>
      </c>
      <c r="Q90" s="149"/>
      <c r="R90" s="149"/>
      <c r="S90" s="373"/>
    </row>
    <row r="91" spans="1:19" s="28" customFormat="1" ht="30.75" customHeight="1" x14ac:dyDescent="0.35">
      <c r="A91" s="167"/>
      <c r="B91" s="75" t="s">
        <v>8</v>
      </c>
      <c r="C91" s="75"/>
      <c r="D91" s="76"/>
      <c r="E91" s="76"/>
      <c r="F91" s="76"/>
      <c r="G91" s="76">
        <f t="shared" ref="G91:I91" si="116">G97+G103</f>
        <v>0</v>
      </c>
      <c r="H91" s="76">
        <f t="shared" si="116"/>
        <v>0</v>
      </c>
      <c r="I91" s="76">
        <f t="shared" si="116"/>
        <v>0</v>
      </c>
      <c r="J91" s="38" t="e">
        <f>I91/H91</f>
        <v>#DIV/0!</v>
      </c>
      <c r="K91" s="37">
        <f t="shared" ref="K91" si="117">K97+K103</f>
        <v>0</v>
      </c>
      <c r="L91" s="39" t="e">
        <f t="shared" si="115"/>
        <v>#DIV/0!</v>
      </c>
      <c r="M91" s="39" t="e">
        <f t="shared" si="110"/>
        <v>#DIV/0!</v>
      </c>
      <c r="N91" s="37">
        <f t="shared" ref="N91:N94" si="118">N97+N103</f>
        <v>0</v>
      </c>
      <c r="O91" s="37">
        <f t="shared" ref="O91:O94" si="119">H91-N91</f>
        <v>0</v>
      </c>
      <c r="P91" s="39" t="e">
        <f t="shared" si="112"/>
        <v>#DIV/0!</v>
      </c>
      <c r="Q91" s="149"/>
      <c r="R91" s="149"/>
      <c r="S91" s="373"/>
    </row>
    <row r="92" spans="1:19" s="28" customFormat="1" ht="30.75" customHeight="1" x14ac:dyDescent="0.35">
      <c r="A92" s="167"/>
      <c r="B92" s="75" t="s">
        <v>19</v>
      </c>
      <c r="C92" s="75"/>
      <c r="D92" s="76"/>
      <c r="E92" s="76"/>
      <c r="F92" s="76"/>
      <c r="G92" s="76">
        <f t="shared" ref="G92:I92" si="120">G98+G104</f>
        <v>0</v>
      </c>
      <c r="H92" s="76">
        <f t="shared" si="120"/>
        <v>0</v>
      </c>
      <c r="I92" s="76">
        <f t="shared" si="120"/>
        <v>0</v>
      </c>
      <c r="J92" s="38" t="e">
        <f t="shared" ref="J92:J94" si="121">I92/H92</f>
        <v>#DIV/0!</v>
      </c>
      <c r="K92" s="37">
        <f t="shared" ref="K92" si="122">K98+K104</f>
        <v>0</v>
      </c>
      <c r="L92" s="39" t="e">
        <f t="shared" si="115"/>
        <v>#DIV/0!</v>
      </c>
      <c r="M92" s="39" t="e">
        <f t="shared" si="110"/>
        <v>#DIV/0!</v>
      </c>
      <c r="N92" s="37">
        <f t="shared" si="118"/>
        <v>0</v>
      </c>
      <c r="O92" s="37">
        <f t="shared" si="119"/>
        <v>0</v>
      </c>
      <c r="P92" s="39" t="e">
        <f t="shared" si="112"/>
        <v>#DIV/0!</v>
      </c>
      <c r="Q92" s="149"/>
      <c r="R92" s="149"/>
      <c r="S92" s="373"/>
    </row>
    <row r="93" spans="1:19" s="28" customFormat="1" ht="30.75" customHeight="1" x14ac:dyDescent="0.35">
      <c r="A93" s="167"/>
      <c r="B93" s="75" t="s">
        <v>22</v>
      </c>
      <c r="C93" s="75"/>
      <c r="D93" s="76"/>
      <c r="E93" s="76"/>
      <c r="F93" s="76"/>
      <c r="G93" s="76">
        <f t="shared" ref="G93:I93" si="123">G99+G105</f>
        <v>11038.76</v>
      </c>
      <c r="H93" s="76">
        <f t="shared" si="123"/>
        <v>11038.76</v>
      </c>
      <c r="I93" s="76">
        <f t="shared" si="123"/>
        <v>0</v>
      </c>
      <c r="J93" s="77">
        <f t="shared" si="121"/>
        <v>0</v>
      </c>
      <c r="K93" s="76">
        <f t="shared" ref="K93" si="124">K99+K105</f>
        <v>0</v>
      </c>
      <c r="L93" s="78">
        <f t="shared" si="115"/>
        <v>0</v>
      </c>
      <c r="M93" s="39" t="e">
        <f t="shared" si="110"/>
        <v>#DIV/0!</v>
      </c>
      <c r="N93" s="76">
        <f t="shared" si="118"/>
        <v>11038.76</v>
      </c>
      <c r="O93" s="76">
        <f t="shared" si="119"/>
        <v>0</v>
      </c>
      <c r="P93" s="78">
        <f t="shared" si="112"/>
        <v>1</v>
      </c>
      <c r="Q93" s="149"/>
      <c r="R93" s="149"/>
      <c r="S93" s="373"/>
    </row>
    <row r="94" spans="1:19" s="28" customFormat="1" ht="30.75" customHeight="1" x14ac:dyDescent="0.35">
      <c r="A94" s="168"/>
      <c r="B94" s="75" t="s">
        <v>11</v>
      </c>
      <c r="C94" s="75"/>
      <c r="D94" s="76"/>
      <c r="E94" s="76"/>
      <c r="F94" s="76"/>
      <c r="G94" s="76">
        <f t="shared" ref="G94:I94" si="125">G100+G106</f>
        <v>0</v>
      </c>
      <c r="H94" s="76">
        <f t="shared" si="125"/>
        <v>0</v>
      </c>
      <c r="I94" s="76">
        <f t="shared" si="125"/>
        <v>0</v>
      </c>
      <c r="J94" s="38" t="e">
        <f t="shared" si="121"/>
        <v>#DIV/0!</v>
      </c>
      <c r="K94" s="37">
        <f t="shared" ref="K94" si="126">K100+K106</f>
        <v>0</v>
      </c>
      <c r="L94" s="39" t="e">
        <f t="shared" si="115"/>
        <v>#DIV/0!</v>
      </c>
      <c r="M94" s="39" t="e">
        <f t="shared" si="110"/>
        <v>#DIV/0!</v>
      </c>
      <c r="N94" s="37">
        <f t="shared" si="118"/>
        <v>0</v>
      </c>
      <c r="O94" s="37">
        <f t="shared" si="119"/>
        <v>0</v>
      </c>
      <c r="P94" s="39" t="e">
        <f t="shared" si="112"/>
        <v>#DIV/0!</v>
      </c>
      <c r="Q94" s="84"/>
      <c r="R94" s="84"/>
      <c r="S94" s="374"/>
    </row>
    <row r="95" spans="1:19" s="28" customFormat="1" ht="55.5" customHeight="1" x14ac:dyDescent="0.35">
      <c r="A95" s="187" t="s">
        <v>393</v>
      </c>
      <c r="B95" s="75" t="s">
        <v>353</v>
      </c>
      <c r="C95" s="69"/>
      <c r="D95" s="76">
        <f t="shared" ref="D95:I95" si="127">SUM(D96:D100)</f>
        <v>0</v>
      </c>
      <c r="E95" s="76">
        <f t="shared" si="127"/>
        <v>0</v>
      </c>
      <c r="F95" s="76">
        <f t="shared" si="127"/>
        <v>0</v>
      </c>
      <c r="G95" s="76">
        <f t="shared" si="127"/>
        <v>8033.38</v>
      </c>
      <c r="H95" s="76">
        <f t="shared" si="127"/>
        <v>8033.38</v>
      </c>
      <c r="I95" s="76">
        <f t="shared" si="127"/>
        <v>0</v>
      </c>
      <c r="J95" s="77">
        <f>I95/H95</f>
        <v>0</v>
      </c>
      <c r="K95" s="76">
        <f>SUM(K96:K100)</f>
        <v>0</v>
      </c>
      <c r="L95" s="78">
        <f>K95/H95</f>
        <v>0</v>
      </c>
      <c r="M95" s="39" t="e">
        <f t="shared" si="110"/>
        <v>#DIV/0!</v>
      </c>
      <c r="N95" s="70">
        <f>SUM(N96:N100)</f>
        <v>8033.38</v>
      </c>
      <c r="O95" s="76">
        <f t="shared" ref="O95:O106" si="128">H95-N95</f>
        <v>0</v>
      </c>
      <c r="P95" s="78">
        <f t="shared" si="112"/>
        <v>1</v>
      </c>
      <c r="Q95" s="78"/>
      <c r="R95" s="78"/>
      <c r="S95" s="401" t="s">
        <v>221</v>
      </c>
    </row>
    <row r="96" spans="1:19" s="28" customFormat="1" ht="30.75" customHeight="1" x14ac:dyDescent="0.35">
      <c r="A96" s="74"/>
      <c r="B96" s="75" t="s">
        <v>10</v>
      </c>
      <c r="C96" s="75"/>
      <c r="D96" s="76"/>
      <c r="E96" s="76"/>
      <c r="F96" s="76"/>
      <c r="G96" s="76"/>
      <c r="H96" s="79"/>
      <c r="I96" s="76"/>
      <c r="J96" s="38" t="e">
        <f t="shared" ref="J96:J100" si="129">I96/H96</f>
        <v>#DIV/0!</v>
      </c>
      <c r="K96" s="76"/>
      <c r="L96" s="39" t="e">
        <f t="shared" ref="L96:L100" si="130">K96/H96</f>
        <v>#DIV/0!</v>
      </c>
      <c r="M96" s="39" t="e">
        <f t="shared" si="110"/>
        <v>#DIV/0!</v>
      </c>
      <c r="N96" s="76"/>
      <c r="O96" s="76">
        <f t="shared" si="128"/>
        <v>0</v>
      </c>
      <c r="P96" s="39" t="e">
        <f t="shared" si="112"/>
        <v>#DIV/0!</v>
      </c>
      <c r="Q96" s="78"/>
      <c r="R96" s="78"/>
      <c r="S96" s="401"/>
    </row>
    <row r="97" spans="1:19" s="28" customFormat="1" ht="30.75" customHeight="1" x14ac:dyDescent="0.35">
      <c r="A97" s="74"/>
      <c r="B97" s="75" t="s">
        <v>8</v>
      </c>
      <c r="C97" s="75"/>
      <c r="D97" s="76"/>
      <c r="E97" s="76"/>
      <c r="F97" s="76"/>
      <c r="G97" s="76"/>
      <c r="H97" s="76"/>
      <c r="I97" s="76"/>
      <c r="J97" s="38" t="e">
        <f t="shared" si="129"/>
        <v>#DIV/0!</v>
      </c>
      <c r="K97" s="76"/>
      <c r="L97" s="39" t="e">
        <f t="shared" si="130"/>
        <v>#DIV/0!</v>
      </c>
      <c r="M97" s="39" t="e">
        <f t="shared" si="110"/>
        <v>#DIV/0!</v>
      </c>
      <c r="N97" s="76">
        <f>H97</f>
        <v>0</v>
      </c>
      <c r="O97" s="76">
        <f t="shared" si="128"/>
        <v>0</v>
      </c>
      <c r="P97" s="39" t="e">
        <f t="shared" si="112"/>
        <v>#DIV/0!</v>
      </c>
      <c r="Q97" s="78"/>
      <c r="R97" s="78"/>
      <c r="S97" s="401"/>
    </row>
    <row r="98" spans="1:19" s="28" customFormat="1" ht="30.75" customHeight="1" x14ac:dyDescent="0.35">
      <c r="A98" s="74"/>
      <c r="B98" s="75" t="s">
        <v>19</v>
      </c>
      <c r="C98" s="75"/>
      <c r="D98" s="76"/>
      <c r="E98" s="76"/>
      <c r="F98" s="76"/>
      <c r="G98" s="76"/>
      <c r="H98" s="76"/>
      <c r="I98" s="76"/>
      <c r="J98" s="38" t="e">
        <f>I98/H98</f>
        <v>#DIV/0!</v>
      </c>
      <c r="K98" s="76"/>
      <c r="L98" s="39" t="e">
        <f>K98/H98</f>
        <v>#DIV/0!</v>
      </c>
      <c r="M98" s="39" t="e">
        <f t="shared" si="110"/>
        <v>#DIV/0!</v>
      </c>
      <c r="N98" s="76"/>
      <c r="O98" s="76">
        <f t="shared" si="128"/>
        <v>0</v>
      </c>
      <c r="P98" s="39" t="e">
        <f>N98/H98</f>
        <v>#DIV/0!</v>
      </c>
      <c r="Q98" s="78"/>
      <c r="R98" s="78"/>
      <c r="S98" s="401"/>
    </row>
    <row r="99" spans="1:19" s="28" customFormat="1" ht="30.75" customHeight="1" x14ac:dyDescent="0.35">
      <c r="A99" s="74"/>
      <c r="B99" s="75" t="s">
        <v>22</v>
      </c>
      <c r="C99" s="75"/>
      <c r="D99" s="76"/>
      <c r="E99" s="76"/>
      <c r="F99" s="76"/>
      <c r="G99" s="76">
        <v>8033.38</v>
      </c>
      <c r="H99" s="76">
        <v>8033.38</v>
      </c>
      <c r="I99" s="76"/>
      <c r="J99" s="38">
        <f>I99/H99</f>
        <v>0</v>
      </c>
      <c r="K99" s="76"/>
      <c r="L99" s="39">
        <f>K99/H99</f>
        <v>0</v>
      </c>
      <c r="M99" s="39" t="e">
        <f t="shared" si="110"/>
        <v>#DIV/0!</v>
      </c>
      <c r="N99" s="76">
        <f>H99</f>
        <v>8033.38</v>
      </c>
      <c r="O99" s="76">
        <f t="shared" si="128"/>
        <v>0</v>
      </c>
      <c r="P99" s="78">
        <f>N99/H99</f>
        <v>1</v>
      </c>
      <c r="Q99" s="78"/>
      <c r="R99" s="78"/>
      <c r="S99" s="401"/>
    </row>
    <row r="100" spans="1:19" s="28" customFormat="1" ht="30.75" customHeight="1" x14ac:dyDescent="0.35">
      <c r="A100" s="188"/>
      <c r="B100" s="75" t="s">
        <v>11</v>
      </c>
      <c r="C100" s="75"/>
      <c r="D100" s="76"/>
      <c r="E100" s="76"/>
      <c r="F100" s="76"/>
      <c r="G100" s="76"/>
      <c r="H100" s="79"/>
      <c r="I100" s="76"/>
      <c r="J100" s="38" t="e">
        <f t="shared" si="129"/>
        <v>#DIV/0!</v>
      </c>
      <c r="K100" s="76"/>
      <c r="L100" s="39" t="e">
        <f t="shared" si="130"/>
        <v>#DIV/0!</v>
      </c>
      <c r="M100" s="39" t="e">
        <f t="shared" si="110"/>
        <v>#DIV/0!</v>
      </c>
      <c r="N100" s="76"/>
      <c r="O100" s="76">
        <f t="shared" si="128"/>
        <v>0</v>
      </c>
      <c r="P100" s="39" t="e">
        <f t="shared" si="112"/>
        <v>#DIV/0!</v>
      </c>
      <c r="Q100" s="78"/>
      <c r="R100" s="78"/>
      <c r="S100" s="401"/>
    </row>
    <row r="101" spans="1:19" s="28" customFormat="1" ht="57.75" customHeight="1" x14ac:dyDescent="0.35">
      <c r="A101" s="187" t="s">
        <v>394</v>
      </c>
      <c r="B101" s="75" t="s">
        <v>354</v>
      </c>
      <c r="C101" s="69"/>
      <c r="D101" s="76">
        <f t="shared" ref="D101:I101" si="131">SUM(D102:D106)</f>
        <v>0</v>
      </c>
      <c r="E101" s="76">
        <f t="shared" si="131"/>
        <v>0</v>
      </c>
      <c r="F101" s="76">
        <f t="shared" si="131"/>
        <v>0</v>
      </c>
      <c r="G101" s="76">
        <f t="shared" si="131"/>
        <v>3005.38</v>
      </c>
      <c r="H101" s="76">
        <f t="shared" si="131"/>
        <v>3005.38</v>
      </c>
      <c r="I101" s="76">
        <f t="shared" si="131"/>
        <v>0</v>
      </c>
      <c r="J101" s="38">
        <f>I101/H101</f>
        <v>0</v>
      </c>
      <c r="K101" s="76">
        <f>SUM(K102:K106)</f>
        <v>0</v>
      </c>
      <c r="L101" s="39">
        <f>K101/H101</f>
        <v>0</v>
      </c>
      <c r="M101" s="39" t="e">
        <f t="shared" si="110"/>
        <v>#DIV/0!</v>
      </c>
      <c r="N101" s="70">
        <f>SUM(N102:N106)</f>
        <v>3005.38</v>
      </c>
      <c r="O101" s="76">
        <f t="shared" si="128"/>
        <v>0</v>
      </c>
      <c r="P101" s="78">
        <f t="shared" si="112"/>
        <v>1</v>
      </c>
      <c r="Q101" s="186"/>
      <c r="R101" s="186"/>
      <c r="S101" s="381" t="s">
        <v>222</v>
      </c>
    </row>
    <row r="102" spans="1:19" s="28" customFormat="1" ht="30.75" customHeight="1" x14ac:dyDescent="0.35">
      <c r="A102" s="74"/>
      <c r="B102" s="75" t="s">
        <v>10</v>
      </c>
      <c r="C102" s="75"/>
      <c r="D102" s="76"/>
      <c r="E102" s="76"/>
      <c r="F102" s="76"/>
      <c r="G102" s="76"/>
      <c r="H102" s="79"/>
      <c r="I102" s="76"/>
      <c r="J102" s="38" t="e">
        <f t="shared" ref="J102:J106" si="132">I102/H102</f>
        <v>#DIV/0!</v>
      </c>
      <c r="K102" s="76"/>
      <c r="L102" s="39" t="e">
        <f t="shared" ref="L102:L106" si="133">K102/H102</f>
        <v>#DIV/0!</v>
      </c>
      <c r="M102" s="39" t="e">
        <f t="shared" si="110"/>
        <v>#DIV/0!</v>
      </c>
      <c r="N102" s="76"/>
      <c r="O102" s="76">
        <f t="shared" si="128"/>
        <v>0</v>
      </c>
      <c r="P102" s="39" t="e">
        <f t="shared" si="112"/>
        <v>#DIV/0!</v>
      </c>
      <c r="Q102" s="149"/>
      <c r="R102" s="149"/>
      <c r="S102" s="366"/>
    </row>
    <row r="103" spans="1:19" s="28" customFormat="1" ht="30.75" customHeight="1" x14ac:dyDescent="0.35">
      <c r="A103" s="74"/>
      <c r="B103" s="75" t="s">
        <v>8</v>
      </c>
      <c r="C103" s="75"/>
      <c r="D103" s="76"/>
      <c r="E103" s="76"/>
      <c r="F103" s="76"/>
      <c r="G103" s="76"/>
      <c r="H103" s="76"/>
      <c r="I103" s="76"/>
      <c r="J103" s="38" t="e">
        <f t="shared" si="132"/>
        <v>#DIV/0!</v>
      </c>
      <c r="K103" s="76"/>
      <c r="L103" s="39" t="e">
        <f t="shared" si="133"/>
        <v>#DIV/0!</v>
      </c>
      <c r="M103" s="39" t="e">
        <f t="shared" si="110"/>
        <v>#DIV/0!</v>
      </c>
      <c r="N103" s="76">
        <f>H103</f>
        <v>0</v>
      </c>
      <c r="O103" s="76">
        <f t="shared" si="128"/>
        <v>0</v>
      </c>
      <c r="P103" s="39" t="e">
        <f t="shared" si="112"/>
        <v>#DIV/0!</v>
      </c>
      <c r="Q103" s="149"/>
      <c r="R103" s="149"/>
      <c r="S103" s="366"/>
    </row>
    <row r="104" spans="1:19" s="28" customFormat="1" ht="30.75" customHeight="1" x14ac:dyDescent="0.35">
      <c r="A104" s="74"/>
      <c r="B104" s="75" t="s">
        <v>19</v>
      </c>
      <c r="C104" s="75"/>
      <c r="D104" s="76"/>
      <c r="E104" s="76"/>
      <c r="F104" s="76"/>
      <c r="G104" s="76"/>
      <c r="H104" s="76"/>
      <c r="I104" s="76"/>
      <c r="J104" s="38" t="e">
        <f t="shared" si="132"/>
        <v>#DIV/0!</v>
      </c>
      <c r="K104" s="76"/>
      <c r="L104" s="39" t="e">
        <f t="shared" si="133"/>
        <v>#DIV/0!</v>
      </c>
      <c r="M104" s="39" t="e">
        <f t="shared" si="110"/>
        <v>#DIV/0!</v>
      </c>
      <c r="N104" s="76"/>
      <c r="O104" s="76">
        <f t="shared" si="128"/>
        <v>0</v>
      </c>
      <c r="P104" s="39" t="e">
        <f t="shared" si="112"/>
        <v>#DIV/0!</v>
      </c>
      <c r="Q104" s="149"/>
      <c r="R104" s="149"/>
      <c r="S104" s="366"/>
    </row>
    <row r="105" spans="1:19" s="28" customFormat="1" ht="30.75" customHeight="1" x14ac:dyDescent="0.35">
      <c r="A105" s="74"/>
      <c r="B105" s="75" t="s">
        <v>22</v>
      </c>
      <c r="C105" s="75"/>
      <c r="D105" s="76"/>
      <c r="E105" s="76"/>
      <c r="F105" s="76"/>
      <c r="G105" s="76">
        <v>3005.38</v>
      </c>
      <c r="H105" s="76">
        <v>3005.38</v>
      </c>
      <c r="I105" s="76"/>
      <c r="J105" s="38">
        <f t="shared" si="132"/>
        <v>0</v>
      </c>
      <c r="K105" s="76"/>
      <c r="L105" s="39">
        <f t="shared" si="133"/>
        <v>0</v>
      </c>
      <c r="M105" s="39" t="e">
        <f t="shared" si="110"/>
        <v>#DIV/0!</v>
      </c>
      <c r="N105" s="76">
        <f>H105</f>
        <v>3005.38</v>
      </c>
      <c r="O105" s="76">
        <f t="shared" si="128"/>
        <v>0</v>
      </c>
      <c r="P105" s="78">
        <f t="shared" si="112"/>
        <v>1</v>
      </c>
      <c r="Q105" s="149"/>
      <c r="R105" s="149"/>
      <c r="S105" s="366"/>
    </row>
    <row r="106" spans="1:19" s="28" customFormat="1" ht="30.75" customHeight="1" x14ac:dyDescent="0.35">
      <c r="A106" s="188"/>
      <c r="B106" s="75" t="s">
        <v>11</v>
      </c>
      <c r="C106" s="75"/>
      <c r="D106" s="76"/>
      <c r="E106" s="76"/>
      <c r="F106" s="76"/>
      <c r="G106" s="76"/>
      <c r="H106" s="79"/>
      <c r="I106" s="76"/>
      <c r="J106" s="38" t="e">
        <f t="shared" si="132"/>
        <v>#DIV/0!</v>
      </c>
      <c r="K106" s="76"/>
      <c r="L106" s="39" t="e">
        <f t="shared" si="133"/>
        <v>#DIV/0!</v>
      </c>
      <c r="M106" s="39" t="e">
        <f t="shared" si="110"/>
        <v>#DIV/0!</v>
      </c>
      <c r="N106" s="76"/>
      <c r="O106" s="76">
        <f t="shared" si="128"/>
        <v>0</v>
      </c>
      <c r="P106" s="39" t="e">
        <f t="shared" si="112"/>
        <v>#DIV/0!</v>
      </c>
      <c r="Q106" s="84"/>
      <c r="R106" s="84"/>
      <c r="S106" s="367"/>
    </row>
    <row r="107" spans="1:19" s="183" customFormat="1" ht="46.5" x14ac:dyDescent="0.35">
      <c r="A107" s="152" t="s">
        <v>68</v>
      </c>
      <c r="B107" s="181" t="s">
        <v>223</v>
      </c>
      <c r="C107" s="154" t="s">
        <v>2</v>
      </c>
      <c r="D107" s="155">
        <f t="shared" ref="D107:I107" si="134">SUM(D108:D112)</f>
        <v>0</v>
      </c>
      <c r="E107" s="155">
        <f t="shared" si="134"/>
        <v>0</v>
      </c>
      <c r="F107" s="155">
        <f t="shared" si="134"/>
        <v>0</v>
      </c>
      <c r="G107" s="155">
        <f t="shared" si="134"/>
        <v>269201.37</v>
      </c>
      <c r="H107" s="155">
        <f t="shared" si="134"/>
        <v>269201.37</v>
      </c>
      <c r="I107" s="155">
        <f t="shared" si="134"/>
        <v>132456.57</v>
      </c>
      <c r="J107" s="156">
        <f>I107/H107</f>
        <v>0.49</v>
      </c>
      <c r="K107" s="155">
        <f>SUM(K108:K112)</f>
        <v>107379</v>
      </c>
      <c r="L107" s="182">
        <f>K107/H107</f>
        <v>0.4</v>
      </c>
      <c r="M107" s="73">
        <f t="shared" si="71"/>
        <v>0.81</v>
      </c>
      <c r="N107" s="155">
        <f>SUM(N108:N112)</f>
        <v>269201.37</v>
      </c>
      <c r="O107" s="155">
        <f t="shared" ref="O107" si="135">H107-N107</f>
        <v>0</v>
      </c>
      <c r="P107" s="182">
        <f t="shared" si="112"/>
        <v>1</v>
      </c>
      <c r="Q107" s="173"/>
      <c r="R107" s="173"/>
      <c r="S107" s="381"/>
    </row>
    <row r="108" spans="1:19" s="28" customFormat="1" ht="30.75" customHeight="1" x14ac:dyDescent="0.35">
      <c r="A108" s="159"/>
      <c r="B108" s="75" t="s">
        <v>10</v>
      </c>
      <c r="C108" s="75"/>
      <c r="D108" s="76">
        <f>D114</f>
        <v>0</v>
      </c>
      <c r="E108" s="76">
        <f t="shared" ref="E108:F108" si="136">E114</f>
        <v>0</v>
      </c>
      <c r="F108" s="76">
        <f t="shared" si="136"/>
        <v>0</v>
      </c>
      <c r="G108" s="76">
        <f>G114+G132</f>
        <v>0</v>
      </c>
      <c r="H108" s="76">
        <f t="shared" ref="H108:I108" si="137">H114+H132</f>
        <v>0</v>
      </c>
      <c r="I108" s="76">
        <f t="shared" si="137"/>
        <v>0</v>
      </c>
      <c r="J108" s="38" t="e">
        <f>I108/H108</f>
        <v>#DIV/0!</v>
      </c>
      <c r="K108" s="37">
        <f t="shared" ref="K108" si="138">K114+K132</f>
        <v>0</v>
      </c>
      <c r="L108" s="39" t="e">
        <f>K108/H108</f>
        <v>#DIV/0!</v>
      </c>
      <c r="M108" s="39" t="e">
        <f t="shared" ref="M108:M118" si="139">K108/I108</f>
        <v>#DIV/0!</v>
      </c>
      <c r="N108" s="37">
        <f t="shared" ref="N108:O108" si="140">N114+N132</f>
        <v>0</v>
      </c>
      <c r="O108" s="37">
        <f t="shared" si="140"/>
        <v>0</v>
      </c>
      <c r="P108" s="39" t="e">
        <f t="shared" si="112"/>
        <v>#DIV/0!</v>
      </c>
      <c r="Q108" s="149"/>
      <c r="R108" s="149"/>
      <c r="S108" s="366"/>
    </row>
    <row r="109" spans="1:19" s="28" customFormat="1" ht="30.75" customHeight="1" x14ac:dyDescent="0.35">
      <c r="A109" s="159"/>
      <c r="B109" s="75" t="s">
        <v>8</v>
      </c>
      <c r="C109" s="75"/>
      <c r="D109" s="76">
        <f t="shared" ref="D109:F112" si="141">D115</f>
        <v>0</v>
      </c>
      <c r="E109" s="76">
        <f t="shared" si="141"/>
        <v>0</v>
      </c>
      <c r="F109" s="76">
        <f t="shared" si="141"/>
        <v>0</v>
      </c>
      <c r="G109" s="76">
        <f t="shared" ref="G109:I109" si="142">G115+G133</f>
        <v>258459.6</v>
      </c>
      <c r="H109" s="76">
        <f t="shared" si="142"/>
        <v>258459.6</v>
      </c>
      <c r="I109" s="76">
        <f t="shared" si="142"/>
        <v>127762</v>
      </c>
      <c r="J109" s="77">
        <f>I109/H109</f>
        <v>0.49</v>
      </c>
      <c r="K109" s="76">
        <f t="shared" ref="K109" si="143">K115+K133</f>
        <v>102684.43</v>
      </c>
      <c r="L109" s="78">
        <f>K109/H109</f>
        <v>0.4</v>
      </c>
      <c r="M109" s="78">
        <f>K109/I109</f>
        <v>0.8</v>
      </c>
      <c r="N109" s="76">
        <f t="shared" ref="N109:O109" si="144">N115+N133</f>
        <v>258459.6</v>
      </c>
      <c r="O109" s="76">
        <f t="shared" si="144"/>
        <v>0</v>
      </c>
      <c r="P109" s="78">
        <f t="shared" si="112"/>
        <v>1</v>
      </c>
      <c r="Q109" s="149"/>
      <c r="R109" s="149"/>
      <c r="S109" s="366"/>
    </row>
    <row r="110" spans="1:19" s="28" customFormat="1" ht="30.75" customHeight="1" x14ac:dyDescent="0.35">
      <c r="A110" s="159"/>
      <c r="B110" s="75" t="s">
        <v>19</v>
      </c>
      <c r="C110" s="75"/>
      <c r="D110" s="76">
        <f t="shared" si="141"/>
        <v>0</v>
      </c>
      <c r="E110" s="76">
        <f t="shared" si="141"/>
        <v>0</v>
      </c>
      <c r="F110" s="76">
        <f t="shared" si="141"/>
        <v>0</v>
      </c>
      <c r="G110" s="76">
        <f>G116+G134</f>
        <v>10741.77</v>
      </c>
      <c r="H110" s="76">
        <f t="shared" ref="H110:I110" si="145">H116+H134</f>
        <v>10741.77</v>
      </c>
      <c r="I110" s="76">
        <f t="shared" si="145"/>
        <v>4694.57</v>
      </c>
      <c r="J110" s="77">
        <f t="shared" ref="J110:J112" si="146">I110/H110</f>
        <v>0.44</v>
      </c>
      <c r="K110" s="76">
        <f t="shared" ref="K110" si="147">K116+K134</f>
        <v>4694.57</v>
      </c>
      <c r="L110" s="78">
        <f t="shared" ref="L110:L112" si="148">K110/H110</f>
        <v>0.44</v>
      </c>
      <c r="M110" s="78">
        <f t="shared" si="139"/>
        <v>1</v>
      </c>
      <c r="N110" s="76">
        <f t="shared" ref="N110:O110" si="149">N116+N134</f>
        <v>10741.77</v>
      </c>
      <c r="O110" s="76">
        <f t="shared" si="149"/>
        <v>0</v>
      </c>
      <c r="P110" s="78">
        <f>N110/H110</f>
        <v>1</v>
      </c>
      <c r="Q110" s="149"/>
      <c r="R110" s="149"/>
      <c r="S110" s="366"/>
    </row>
    <row r="111" spans="1:19" s="28" customFormat="1" ht="30.75" customHeight="1" x14ac:dyDescent="0.35">
      <c r="A111" s="159"/>
      <c r="B111" s="80" t="s">
        <v>22</v>
      </c>
      <c r="C111" s="80"/>
      <c r="D111" s="76">
        <f t="shared" si="141"/>
        <v>0</v>
      </c>
      <c r="E111" s="76">
        <f t="shared" si="141"/>
        <v>0</v>
      </c>
      <c r="F111" s="76">
        <f t="shared" si="141"/>
        <v>0</v>
      </c>
      <c r="G111" s="76">
        <f t="shared" ref="G111:I111" si="150">G117+G135</f>
        <v>0</v>
      </c>
      <c r="H111" s="76">
        <f t="shared" si="150"/>
        <v>0</v>
      </c>
      <c r="I111" s="76">
        <f t="shared" si="150"/>
        <v>0</v>
      </c>
      <c r="J111" s="38" t="e">
        <f t="shared" si="146"/>
        <v>#DIV/0!</v>
      </c>
      <c r="K111" s="37">
        <f t="shared" ref="K111" si="151">K117+K135</f>
        <v>0</v>
      </c>
      <c r="L111" s="39" t="e">
        <f t="shared" si="148"/>
        <v>#DIV/0!</v>
      </c>
      <c r="M111" s="39" t="e">
        <f t="shared" si="139"/>
        <v>#DIV/0!</v>
      </c>
      <c r="N111" s="37">
        <f t="shared" ref="N111:O111" si="152">N117+N135</f>
        <v>0</v>
      </c>
      <c r="O111" s="37">
        <f t="shared" si="152"/>
        <v>0</v>
      </c>
      <c r="P111" s="39" t="e">
        <f t="shared" si="112"/>
        <v>#DIV/0!</v>
      </c>
      <c r="Q111" s="149"/>
      <c r="R111" s="149"/>
      <c r="S111" s="366"/>
    </row>
    <row r="112" spans="1:19" s="28" customFormat="1" ht="30.75" customHeight="1" x14ac:dyDescent="0.35">
      <c r="A112" s="162"/>
      <c r="B112" s="75" t="s">
        <v>11</v>
      </c>
      <c r="C112" s="75"/>
      <c r="D112" s="76">
        <f t="shared" si="141"/>
        <v>0</v>
      </c>
      <c r="E112" s="76">
        <f t="shared" si="141"/>
        <v>0</v>
      </c>
      <c r="F112" s="76">
        <f t="shared" si="141"/>
        <v>0</v>
      </c>
      <c r="G112" s="76">
        <f t="shared" ref="G112:I112" si="153">G118+G136</f>
        <v>0</v>
      </c>
      <c r="H112" s="76">
        <f t="shared" si="153"/>
        <v>0</v>
      </c>
      <c r="I112" s="76">
        <f t="shared" si="153"/>
        <v>0</v>
      </c>
      <c r="J112" s="38" t="e">
        <f t="shared" si="146"/>
        <v>#DIV/0!</v>
      </c>
      <c r="K112" s="37">
        <f t="shared" ref="K112" si="154">K118+K136</f>
        <v>0</v>
      </c>
      <c r="L112" s="39" t="e">
        <f t="shared" si="148"/>
        <v>#DIV/0!</v>
      </c>
      <c r="M112" s="39" t="e">
        <f t="shared" si="139"/>
        <v>#DIV/0!</v>
      </c>
      <c r="N112" s="37">
        <f t="shared" ref="N112:O112" si="155">N118+N136</f>
        <v>0</v>
      </c>
      <c r="O112" s="37">
        <f t="shared" si="155"/>
        <v>0</v>
      </c>
      <c r="P112" s="39" t="e">
        <f t="shared" si="112"/>
        <v>#DIV/0!</v>
      </c>
      <c r="Q112" s="84"/>
      <c r="R112" s="84"/>
      <c r="S112" s="367"/>
    </row>
    <row r="113" spans="1:19" s="28" customFormat="1" ht="69.75" x14ac:dyDescent="0.35">
      <c r="A113" s="67" t="s">
        <v>114</v>
      </c>
      <c r="B113" s="69" t="s">
        <v>225</v>
      </c>
      <c r="C113" s="69" t="s">
        <v>17</v>
      </c>
      <c r="D113" s="70">
        <f t="shared" ref="D113:F113" si="156">SUM(D114:D118)</f>
        <v>0</v>
      </c>
      <c r="E113" s="70">
        <f t="shared" si="156"/>
        <v>0</v>
      </c>
      <c r="F113" s="70">
        <f t="shared" si="156"/>
        <v>0</v>
      </c>
      <c r="G113" s="70">
        <f>SUM(G114:G118)</f>
        <v>2952</v>
      </c>
      <c r="H113" s="70">
        <f t="shared" ref="H113:K113" si="157">SUM(H114:H118)</f>
        <v>2952</v>
      </c>
      <c r="I113" s="70">
        <f t="shared" si="157"/>
        <v>51.81</v>
      </c>
      <c r="J113" s="72">
        <f>I113/H113</f>
        <v>0.02</v>
      </c>
      <c r="K113" s="70">
        <f t="shared" si="157"/>
        <v>51.81</v>
      </c>
      <c r="L113" s="73">
        <f>K113/H113</f>
        <v>0.02</v>
      </c>
      <c r="M113" s="73">
        <f t="shared" si="139"/>
        <v>1</v>
      </c>
      <c r="N113" s="70">
        <f t="shared" ref="N113" si="158">SUM(N114:N118)</f>
        <v>2952</v>
      </c>
      <c r="O113" s="70">
        <f>SUM(O114:O118)</f>
        <v>0</v>
      </c>
      <c r="P113" s="73">
        <f>N113/H113</f>
        <v>1</v>
      </c>
      <c r="Q113" s="165"/>
      <c r="R113" s="165"/>
      <c r="S113" s="372"/>
    </row>
    <row r="114" spans="1:19" s="28" customFormat="1" ht="33" customHeight="1" x14ac:dyDescent="0.35">
      <c r="A114" s="167"/>
      <c r="B114" s="75" t="s">
        <v>10</v>
      </c>
      <c r="C114" s="75"/>
      <c r="D114" s="76"/>
      <c r="E114" s="76"/>
      <c r="F114" s="76"/>
      <c r="G114" s="76">
        <f>G120+G126</f>
        <v>0</v>
      </c>
      <c r="H114" s="76">
        <f>H120+H126</f>
        <v>0</v>
      </c>
      <c r="I114" s="76">
        <f>I120+I126</f>
        <v>0</v>
      </c>
      <c r="J114" s="38" t="e">
        <f t="shared" ref="J114:J118" si="159">I114/H114</f>
        <v>#DIV/0!</v>
      </c>
      <c r="K114" s="37">
        <f>K120+K126</f>
        <v>0</v>
      </c>
      <c r="L114" s="39" t="e">
        <f t="shared" ref="L114:L118" si="160">K114/H114</f>
        <v>#DIV/0!</v>
      </c>
      <c r="M114" s="39" t="e">
        <f t="shared" si="139"/>
        <v>#DIV/0!</v>
      </c>
      <c r="N114" s="37">
        <f>N120+N126</f>
        <v>0</v>
      </c>
      <c r="O114" s="37">
        <f>H114-N114</f>
        <v>0</v>
      </c>
      <c r="P114" s="39" t="e">
        <f t="shared" si="112"/>
        <v>#DIV/0!</v>
      </c>
      <c r="Q114" s="149"/>
      <c r="R114" s="149"/>
      <c r="S114" s="373"/>
    </row>
    <row r="115" spans="1:19" s="28" customFormat="1" ht="33" customHeight="1" x14ac:dyDescent="0.35">
      <c r="A115" s="167"/>
      <c r="B115" s="75" t="s">
        <v>8</v>
      </c>
      <c r="C115" s="75"/>
      <c r="D115" s="76"/>
      <c r="E115" s="76"/>
      <c r="F115" s="76"/>
      <c r="G115" s="76">
        <f t="shared" ref="G115:H118" si="161">G121+G127</f>
        <v>0</v>
      </c>
      <c r="H115" s="76">
        <f t="shared" si="161"/>
        <v>0</v>
      </c>
      <c r="I115" s="76">
        <f t="shared" ref="I115" si="162">I121</f>
        <v>0</v>
      </c>
      <c r="J115" s="38" t="e">
        <f t="shared" si="159"/>
        <v>#DIV/0!</v>
      </c>
      <c r="K115" s="37">
        <f t="shared" ref="K115:K118" si="163">K121+K127</f>
        <v>0</v>
      </c>
      <c r="L115" s="39" t="e">
        <f t="shared" si="160"/>
        <v>#DIV/0!</v>
      </c>
      <c r="M115" s="39" t="e">
        <f t="shared" si="139"/>
        <v>#DIV/0!</v>
      </c>
      <c r="N115" s="37">
        <f t="shared" ref="N115:N118" si="164">N121+N127</f>
        <v>0</v>
      </c>
      <c r="O115" s="37">
        <f t="shared" ref="O115:O118" si="165">H115-N115</f>
        <v>0</v>
      </c>
      <c r="P115" s="39" t="e">
        <f t="shared" si="112"/>
        <v>#DIV/0!</v>
      </c>
      <c r="Q115" s="149"/>
      <c r="R115" s="149"/>
      <c r="S115" s="373"/>
    </row>
    <row r="116" spans="1:19" s="28" customFormat="1" ht="33" customHeight="1" x14ac:dyDescent="0.35">
      <c r="A116" s="167"/>
      <c r="B116" s="75" t="s">
        <v>19</v>
      </c>
      <c r="C116" s="75"/>
      <c r="D116" s="76"/>
      <c r="E116" s="76"/>
      <c r="F116" s="76"/>
      <c r="G116" s="76">
        <f t="shared" si="161"/>
        <v>2952</v>
      </c>
      <c r="H116" s="76">
        <f t="shared" si="161"/>
        <v>2952</v>
      </c>
      <c r="I116" s="76">
        <f t="shared" ref="I116" si="166">I122</f>
        <v>51.81</v>
      </c>
      <c r="J116" s="77">
        <f t="shared" si="159"/>
        <v>0.02</v>
      </c>
      <c r="K116" s="76">
        <f t="shared" si="163"/>
        <v>51.81</v>
      </c>
      <c r="L116" s="78">
        <f t="shared" si="160"/>
        <v>0.02</v>
      </c>
      <c r="M116" s="78">
        <f t="shared" si="139"/>
        <v>1</v>
      </c>
      <c r="N116" s="76">
        <f t="shared" si="164"/>
        <v>2952</v>
      </c>
      <c r="O116" s="76">
        <f t="shared" si="165"/>
        <v>0</v>
      </c>
      <c r="P116" s="78">
        <f t="shared" si="112"/>
        <v>1</v>
      </c>
      <c r="Q116" s="149"/>
      <c r="R116" s="149"/>
      <c r="S116" s="373"/>
    </row>
    <row r="117" spans="1:19" s="28" customFormat="1" ht="33" customHeight="1" x14ac:dyDescent="0.35">
      <c r="A117" s="167"/>
      <c r="B117" s="75" t="s">
        <v>22</v>
      </c>
      <c r="C117" s="75"/>
      <c r="D117" s="76"/>
      <c r="E117" s="76"/>
      <c r="F117" s="76"/>
      <c r="G117" s="76">
        <f t="shared" si="161"/>
        <v>0</v>
      </c>
      <c r="H117" s="76">
        <f t="shared" si="161"/>
        <v>0</v>
      </c>
      <c r="I117" s="76">
        <f t="shared" ref="I117" si="167">I123</f>
        <v>0</v>
      </c>
      <c r="J117" s="38" t="e">
        <f t="shared" si="159"/>
        <v>#DIV/0!</v>
      </c>
      <c r="K117" s="37">
        <f t="shared" si="163"/>
        <v>0</v>
      </c>
      <c r="L117" s="39" t="e">
        <f t="shared" si="160"/>
        <v>#DIV/0!</v>
      </c>
      <c r="M117" s="39" t="e">
        <f t="shared" si="139"/>
        <v>#DIV/0!</v>
      </c>
      <c r="N117" s="37">
        <f t="shared" si="164"/>
        <v>0</v>
      </c>
      <c r="O117" s="37">
        <f t="shared" si="165"/>
        <v>0</v>
      </c>
      <c r="P117" s="39" t="e">
        <f t="shared" si="112"/>
        <v>#DIV/0!</v>
      </c>
      <c r="Q117" s="149"/>
      <c r="R117" s="149"/>
      <c r="S117" s="373"/>
    </row>
    <row r="118" spans="1:19" s="28" customFormat="1" ht="33" customHeight="1" x14ac:dyDescent="0.35">
      <c r="A118" s="168"/>
      <c r="B118" s="75" t="s">
        <v>11</v>
      </c>
      <c r="C118" s="75"/>
      <c r="D118" s="76"/>
      <c r="E118" s="76"/>
      <c r="F118" s="76"/>
      <c r="G118" s="76">
        <f t="shared" si="161"/>
        <v>0</v>
      </c>
      <c r="H118" s="76">
        <f t="shared" si="161"/>
        <v>0</v>
      </c>
      <c r="I118" s="76">
        <f t="shared" ref="I118" si="168">I124</f>
        <v>0</v>
      </c>
      <c r="J118" s="38" t="e">
        <f t="shared" si="159"/>
        <v>#DIV/0!</v>
      </c>
      <c r="K118" s="37">
        <f t="shared" si="163"/>
        <v>0</v>
      </c>
      <c r="L118" s="39" t="e">
        <f t="shared" si="160"/>
        <v>#DIV/0!</v>
      </c>
      <c r="M118" s="39" t="e">
        <f t="shared" si="139"/>
        <v>#DIV/0!</v>
      </c>
      <c r="N118" s="37">
        <f t="shared" si="164"/>
        <v>0</v>
      </c>
      <c r="O118" s="37">
        <f t="shared" si="165"/>
        <v>0</v>
      </c>
      <c r="P118" s="39" t="e">
        <f t="shared" si="112"/>
        <v>#DIV/0!</v>
      </c>
      <c r="Q118" s="84"/>
      <c r="R118" s="84"/>
      <c r="S118" s="374"/>
    </row>
    <row r="119" spans="1:19" s="28" customFormat="1" ht="78" customHeight="1" x14ac:dyDescent="0.35">
      <c r="A119" s="67" t="s">
        <v>224</v>
      </c>
      <c r="B119" s="69" t="s">
        <v>355</v>
      </c>
      <c r="C119" s="69" t="s">
        <v>17</v>
      </c>
      <c r="D119" s="70">
        <f t="shared" ref="D119:F119" si="169">SUM(D120:D124)</f>
        <v>0</v>
      </c>
      <c r="E119" s="70">
        <f t="shared" si="169"/>
        <v>0</v>
      </c>
      <c r="F119" s="70">
        <f t="shared" si="169"/>
        <v>0</v>
      </c>
      <c r="G119" s="70">
        <f t="shared" ref="G119:I119" si="170">SUM(G120:G124)</f>
        <v>1476</v>
      </c>
      <c r="H119" s="70">
        <f t="shared" si="170"/>
        <v>1476</v>
      </c>
      <c r="I119" s="70">
        <f t="shared" si="170"/>
        <v>51.81</v>
      </c>
      <c r="J119" s="72">
        <f>I119/H119</f>
        <v>0.04</v>
      </c>
      <c r="K119" s="70">
        <f>SUM(K120:K124)</f>
        <v>51.81</v>
      </c>
      <c r="L119" s="73">
        <f>K119/H119</f>
        <v>0.04</v>
      </c>
      <c r="M119" s="73">
        <f t="shared" ref="M119:M124" si="171">K119/I119</f>
        <v>1</v>
      </c>
      <c r="N119" s="70">
        <f>SUM(N120:N124)</f>
        <v>1476</v>
      </c>
      <c r="O119" s="70">
        <f>H119-N119</f>
        <v>0</v>
      </c>
      <c r="P119" s="73">
        <f t="shared" ref="P119:P124" si="172">N119/H119</f>
        <v>1</v>
      </c>
      <c r="Q119" s="165"/>
      <c r="R119" s="165"/>
      <c r="S119" s="372" t="s">
        <v>524</v>
      </c>
    </row>
    <row r="120" spans="1:19" s="28" customFormat="1" ht="33" customHeight="1" x14ac:dyDescent="0.35">
      <c r="A120" s="167"/>
      <c r="B120" s="75" t="s">
        <v>10</v>
      </c>
      <c r="C120" s="75"/>
      <c r="D120" s="76"/>
      <c r="E120" s="76"/>
      <c r="F120" s="76"/>
      <c r="G120" s="76"/>
      <c r="H120" s="79"/>
      <c r="I120" s="76"/>
      <c r="J120" s="38" t="e">
        <f t="shared" ref="J120:J124" si="173">I120/H120</f>
        <v>#DIV/0!</v>
      </c>
      <c r="K120" s="37"/>
      <c r="L120" s="39" t="e">
        <f t="shared" ref="L120:L124" si="174">K120/H120</f>
        <v>#DIV/0!</v>
      </c>
      <c r="M120" s="39" t="e">
        <f t="shared" si="171"/>
        <v>#DIV/0!</v>
      </c>
      <c r="N120" s="37"/>
      <c r="O120" s="37">
        <f>H120-N120</f>
        <v>0</v>
      </c>
      <c r="P120" s="39" t="e">
        <f t="shared" si="172"/>
        <v>#DIV/0!</v>
      </c>
      <c r="Q120" s="149"/>
      <c r="R120" s="149"/>
      <c r="S120" s="373"/>
    </row>
    <row r="121" spans="1:19" s="28" customFormat="1" ht="33" customHeight="1" x14ac:dyDescent="0.35">
      <c r="A121" s="167"/>
      <c r="B121" s="75" t="s">
        <v>8</v>
      </c>
      <c r="C121" s="75"/>
      <c r="D121" s="76"/>
      <c r="E121" s="76"/>
      <c r="F121" s="76"/>
      <c r="G121" s="76"/>
      <c r="H121" s="76"/>
      <c r="I121" s="76"/>
      <c r="J121" s="38" t="e">
        <f t="shared" si="173"/>
        <v>#DIV/0!</v>
      </c>
      <c r="K121" s="37"/>
      <c r="L121" s="39" t="e">
        <f t="shared" si="174"/>
        <v>#DIV/0!</v>
      </c>
      <c r="M121" s="39" t="e">
        <f t="shared" si="171"/>
        <v>#DIV/0!</v>
      </c>
      <c r="N121" s="37"/>
      <c r="O121" s="37">
        <f t="shared" ref="O121:O124" si="175">H121-N121</f>
        <v>0</v>
      </c>
      <c r="P121" s="39" t="e">
        <f t="shared" si="172"/>
        <v>#DIV/0!</v>
      </c>
      <c r="Q121" s="149"/>
      <c r="R121" s="149"/>
      <c r="S121" s="373"/>
    </row>
    <row r="122" spans="1:19" s="28" customFormat="1" ht="33" customHeight="1" x14ac:dyDescent="0.35">
      <c r="A122" s="167"/>
      <c r="B122" s="75" t="s">
        <v>19</v>
      </c>
      <c r="C122" s="75"/>
      <c r="D122" s="76"/>
      <c r="E122" s="76"/>
      <c r="F122" s="76"/>
      <c r="G122" s="76">
        <v>1476</v>
      </c>
      <c r="H122" s="76">
        <v>1476</v>
      </c>
      <c r="I122" s="76">
        <v>51.81</v>
      </c>
      <c r="J122" s="77">
        <f t="shared" si="173"/>
        <v>0.04</v>
      </c>
      <c r="K122" s="76">
        <v>51.81</v>
      </c>
      <c r="L122" s="78">
        <f t="shared" si="174"/>
        <v>0.04</v>
      </c>
      <c r="M122" s="78">
        <f t="shared" si="171"/>
        <v>1</v>
      </c>
      <c r="N122" s="76">
        <f>H122</f>
        <v>1476</v>
      </c>
      <c r="O122" s="76">
        <f t="shared" si="175"/>
        <v>0</v>
      </c>
      <c r="P122" s="78">
        <f t="shared" si="172"/>
        <v>1</v>
      </c>
      <c r="Q122" s="149"/>
      <c r="R122" s="149"/>
      <c r="S122" s="373"/>
    </row>
    <row r="123" spans="1:19" s="28" customFormat="1" ht="33" customHeight="1" x14ac:dyDescent="0.35">
      <c r="A123" s="167"/>
      <c r="B123" s="75" t="s">
        <v>22</v>
      </c>
      <c r="C123" s="75"/>
      <c r="D123" s="76"/>
      <c r="E123" s="76"/>
      <c r="F123" s="76"/>
      <c r="G123" s="76"/>
      <c r="H123" s="76"/>
      <c r="I123" s="76"/>
      <c r="J123" s="38" t="e">
        <f t="shared" si="173"/>
        <v>#DIV/0!</v>
      </c>
      <c r="K123" s="37"/>
      <c r="L123" s="39" t="e">
        <f t="shared" si="174"/>
        <v>#DIV/0!</v>
      </c>
      <c r="M123" s="39" t="e">
        <f t="shared" si="171"/>
        <v>#DIV/0!</v>
      </c>
      <c r="N123" s="37"/>
      <c r="O123" s="37">
        <f t="shared" si="175"/>
        <v>0</v>
      </c>
      <c r="P123" s="39" t="e">
        <f t="shared" si="172"/>
        <v>#DIV/0!</v>
      </c>
      <c r="Q123" s="149"/>
      <c r="R123" s="149"/>
      <c r="S123" s="373"/>
    </row>
    <row r="124" spans="1:19" s="28" customFormat="1" ht="33" customHeight="1" x14ac:dyDescent="0.35">
      <c r="A124" s="168"/>
      <c r="B124" s="75" t="s">
        <v>11</v>
      </c>
      <c r="C124" s="75"/>
      <c r="D124" s="76"/>
      <c r="E124" s="76"/>
      <c r="F124" s="76"/>
      <c r="G124" s="76"/>
      <c r="H124" s="79"/>
      <c r="I124" s="76"/>
      <c r="J124" s="38" t="e">
        <f t="shared" si="173"/>
        <v>#DIV/0!</v>
      </c>
      <c r="K124" s="37"/>
      <c r="L124" s="39" t="e">
        <f t="shared" si="174"/>
        <v>#DIV/0!</v>
      </c>
      <c r="M124" s="39" t="e">
        <f t="shared" si="171"/>
        <v>#DIV/0!</v>
      </c>
      <c r="N124" s="37"/>
      <c r="O124" s="37">
        <f t="shared" si="175"/>
        <v>0</v>
      </c>
      <c r="P124" s="39" t="e">
        <f t="shared" si="172"/>
        <v>#DIV/0!</v>
      </c>
      <c r="Q124" s="84"/>
      <c r="R124" s="84"/>
      <c r="S124" s="374"/>
    </row>
    <row r="125" spans="1:19" s="28" customFormat="1" ht="104.25" customHeight="1" x14ac:dyDescent="0.35">
      <c r="A125" s="67" t="s">
        <v>226</v>
      </c>
      <c r="B125" s="69" t="s">
        <v>356</v>
      </c>
      <c r="C125" s="69" t="s">
        <v>17</v>
      </c>
      <c r="D125" s="70">
        <f t="shared" ref="D125:I125" si="176">SUM(D126:D130)</f>
        <v>0</v>
      </c>
      <c r="E125" s="70">
        <f t="shared" si="176"/>
        <v>0</v>
      </c>
      <c r="F125" s="70">
        <f t="shared" si="176"/>
        <v>0</v>
      </c>
      <c r="G125" s="70">
        <f t="shared" si="176"/>
        <v>1476</v>
      </c>
      <c r="H125" s="70">
        <f t="shared" si="176"/>
        <v>1476</v>
      </c>
      <c r="I125" s="70">
        <f t="shared" si="176"/>
        <v>0</v>
      </c>
      <c r="J125" s="72">
        <f>I125/H125</f>
        <v>0</v>
      </c>
      <c r="K125" s="70">
        <f>SUM(K126:K130)</f>
        <v>0</v>
      </c>
      <c r="L125" s="56">
        <f>K125/H125</f>
        <v>0</v>
      </c>
      <c r="M125" s="56" t="e">
        <f t="shared" ref="M125:M130" si="177">K125/I125</f>
        <v>#DIV/0!</v>
      </c>
      <c r="N125" s="70">
        <f>SUM(N126:N130)</f>
        <v>1476</v>
      </c>
      <c r="O125" s="70">
        <f>H125-N125</f>
        <v>0</v>
      </c>
      <c r="P125" s="73">
        <f t="shared" ref="P125:P130" si="178">N125/H125</f>
        <v>1</v>
      </c>
      <c r="Q125" s="165"/>
      <c r="R125" s="165"/>
      <c r="S125" s="372" t="s">
        <v>418</v>
      </c>
    </row>
    <row r="126" spans="1:19" s="28" customFormat="1" ht="33" customHeight="1" x14ac:dyDescent="0.35">
      <c r="A126" s="167"/>
      <c r="B126" s="75" t="s">
        <v>10</v>
      </c>
      <c r="C126" s="75"/>
      <c r="D126" s="76"/>
      <c r="E126" s="76"/>
      <c r="F126" s="76"/>
      <c r="G126" s="76"/>
      <c r="H126" s="79"/>
      <c r="I126" s="76"/>
      <c r="J126" s="38" t="e">
        <f t="shared" ref="J126:J130" si="179">I126/H126</f>
        <v>#DIV/0!</v>
      </c>
      <c r="K126" s="76"/>
      <c r="L126" s="39" t="e">
        <f t="shared" ref="L126:L130" si="180">K126/H126</f>
        <v>#DIV/0!</v>
      </c>
      <c r="M126" s="39" t="e">
        <f t="shared" si="177"/>
        <v>#DIV/0!</v>
      </c>
      <c r="N126" s="76"/>
      <c r="O126" s="76">
        <f>H126-N126</f>
        <v>0</v>
      </c>
      <c r="P126" s="39" t="e">
        <f t="shared" si="178"/>
        <v>#DIV/0!</v>
      </c>
      <c r="Q126" s="149"/>
      <c r="R126" s="149"/>
      <c r="S126" s="373"/>
    </row>
    <row r="127" spans="1:19" s="28" customFormat="1" ht="33" customHeight="1" x14ac:dyDescent="0.35">
      <c r="A127" s="167"/>
      <c r="B127" s="75" t="s">
        <v>8</v>
      </c>
      <c r="C127" s="75"/>
      <c r="D127" s="76"/>
      <c r="E127" s="76"/>
      <c r="F127" s="76"/>
      <c r="G127" s="76"/>
      <c r="H127" s="76"/>
      <c r="I127" s="76"/>
      <c r="J127" s="38" t="e">
        <f t="shared" si="179"/>
        <v>#DIV/0!</v>
      </c>
      <c r="K127" s="76"/>
      <c r="L127" s="39" t="e">
        <f t="shared" si="180"/>
        <v>#DIV/0!</v>
      </c>
      <c r="M127" s="39" t="e">
        <f t="shared" si="177"/>
        <v>#DIV/0!</v>
      </c>
      <c r="N127" s="76"/>
      <c r="O127" s="76">
        <f t="shared" ref="O127:O130" si="181">H127-N127</f>
        <v>0</v>
      </c>
      <c r="P127" s="39" t="e">
        <f t="shared" si="178"/>
        <v>#DIV/0!</v>
      </c>
      <c r="Q127" s="149"/>
      <c r="R127" s="149"/>
      <c r="S127" s="373"/>
    </row>
    <row r="128" spans="1:19" s="28" customFormat="1" ht="33" customHeight="1" x14ac:dyDescent="0.35">
      <c r="A128" s="167"/>
      <c r="B128" s="75" t="s">
        <v>19</v>
      </c>
      <c r="C128" s="75"/>
      <c r="D128" s="76"/>
      <c r="E128" s="76"/>
      <c r="F128" s="76"/>
      <c r="G128" s="76">
        <v>1476</v>
      </c>
      <c r="H128" s="76">
        <v>1476</v>
      </c>
      <c r="I128" s="76"/>
      <c r="J128" s="38">
        <f t="shared" si="179"/>
        <v>0</v>
      </c>
      <c r="K128" s="76"/>
      <c r="L128" s="39">
        <f t="shared" si="180"/>
        <v>0</v>
      </c>
      <c r="M128" s="39" t="e">
        <f t="shared" si="177"/>
        <v>#DIV/0!</v>
      </c>
      <c r="N128" s="76">
        <v>1476</v>
      </c>
      <c r="O128" s="76">
        <f t="shared" si="181"/>
        <v>0</v>
      </c>
      <c r="P128" s="78">
        <f t="shared" si="178"/>
        <v>1</v>
      </c>
      <c r="Q128" s="149"/>
      <c r="R128" s="149"/>
      <c r="S128" s="373"/>
    </row>
    <row r="129" spans="1:19" s="28" customFormat="1" ht="33" customHeight="1" x14ac:dyDescent="0.35">
      <c r="A129" s="167"/>
      <c r="B129" s="75" t="s">
        <v>22</v>
      </c>
      <c r="C129" s="75"/>
      <c r="D129" s="76"/>
      <c r="E129" s="76"/>
      <c r="F129" s="76"/>
      <c r="G129" s="76"/>
      <c r="H129" s="76"/>
      <c r="I129" s="76"/>
      <c r="J129" s="38" t="e">
        <f t="shared" si="179"/>
        <v>#DIV/0!</v>
      </c>
      <c r="K129" s="76"/>
      <c r="L129" s="39" t="e">
        <f t="shared" si="180"/>
        <v>#DIV/0!</v>
      </c>
      <c r="M129" s="39" t="e">
        <f t="shared" si="177"/>
        <v>#DIV/0!</v>
      </c>
      <c r="N129" s="76"/>
      <c r="O129" s="76">
        <f t="shared" si="181"/>
        <v>0</v>
      </c>
      <c r="P129" s="39" t="e">
        <f t="shared" si="178"/>
        <v>#DIV/0!</v>
      </c>
      <c r="Q129" s="149"/>
      <c r="R129" s="149"/>
      <c r="S129" s="373"/>
    </row>
    <row r="130" spans="1:19" s="28" customFormat="1" ht="33" customHeight="1" x14ac:dyDescent="0.35">
      <c r="A130" s="168"/>
      <c r="B130" s="75" t="s">
        <v>11</v>
      </c>
      <c r="C130" s="75"/>
      <c r="D130" s="76"/>
      <c r="E130" s="76"/>
      <c r="F130" s="76"/>
      <c r="G130" s="76"/>
      <c r="H130" s="79"/>
      <c r="I130" s="76"/>
      <c r="J130" s="38" t="e">
        <f t="shared" si="179"/>
        <v>#DIV/0!</v>
      </c>
      <c r="K130" s="76"/>
      <c r="L130" s="39" t="e">
        <f t="shared" si="180"/>
        <v>#DIV/0!</v>
      </c>
      <c r="M130" s="39" t="e">
        <f t="shared" si="177"/>
        <v>#DIV/0!</v>
      </c>
      <c r="N130" s="76"/>
      <c r="O130" s="76">
        <f t="shared" si="181"/>
        <v>0</v>
      </c>
      <c r="P130" s="39" t="e">
        <f t="shared" si="178"/>
        <v>#DIV/0!</v>
      </c>
      <c r="Q130" s="84"/>
      <c r="R130" s="84"/>
      <c r="S130" s="374"/>
    </row>
    <row r="131" spans="1:19" s="28" customFormat="1" ht="72.75" customHeight="1" x14ac:dyDescent="0.35">
      <c r="A131" s="67" t="s">
        <v>252</v>
      </c>
      <c r="B131" s="69" t="s">
        <v>395</v>
      </c>
      <c r="C131" s="69" t="s">
        <v>17</v>
      </c>
      <c r="D131" s="70">
        <f t="shared" ref="D131:I131" si="182">SUM(D132:D136)</f>
        <v>0</v>
      </c>
      <c r="E131" s="70">
        <f t="shared" si="182"/>
        <v>0</v>
      </c>
      <c r="F131" s="70">
        <f t="shared" si="182"/>
        <v>0</v>
      </c>
      <c r="G131" s="70">
        <f t="shared" si="182"/>
        <v>266249.37</v>
      </c>
      <c r="H131" s="70">
        <f t="shared" si="182"/>
        <v>266249.37</v>
      </c>
      <c r="I131" s="70">
        <f t="shared" si="182"/>
        <v>132404.76</v>
      </c>
      <c r="J131" s="72">
        <f>I131/H131</f>
        <v>0.5</v>
      </c>
      <c r="K131" s="70">
        <f>SUM(K132:K136)</f>
        <v>107327.19</v>
      </c>
      <c r="L131" s="189">
        <f>K131/H131</f>
        <v>0.40300000000000002</v>
      </c>
      <c r="M131" s="73">
        <f t="shared" ref="M131:M136" si="183">K131/I131</f>
        <v>0.81</v>
      </c>
      <c r="N131" s="70">
        <f>SUM(N132:N136)</f>
        <v>266249.37</v>
      </c>
      <c r="O131" s="70">
        <f>H131-N131</f>
        <v>0</v>
      </c>
      <c r="P131" s="73">
        <f t="shared" ref="P131:P136" si="184">N131/H131</f>
        <v>1</v>
      </c>
      <c r="Q131" s="165"/>
      <c r="R131" s="165"/>
      <c r="S131" s="372" t="s">
        <v>511</v>
      </c>
    </row>
    <row r="132" spans="1:19" s="28" customFormat="1" ht="86.25" customHeight="1" x14ac:dyDescent="0.35">
      <c r="A132" s="167"/>
      <c r="B132" s="75" t="s">
        <v>10</v>
      </c>
      <c r="C132" s="75"/>
      <c r="D132" s="76"/>
      <c r="E132" s="76"/>
      <c r="F132" s="76"/>
      <c r="G132" s="76"/>
      <c r="H132" s="79"/>
      <c r="I132" s="76"/>
      <c r="J132" s="38" t="e">
        <f t="shared" ref="J132:J136" si="185">I132/H132</f>
        <v>#DIV/0!</v>
      </c>
      <c r="K132" s="37"/>
      <c r="L132" s="39" t="e">
        <f t="shared" ref="L132:L136" si="186">K132/H132</f>
        <v>#DIV/0!</v>
      </c>
      <c r="M132" s="39" t="e">
        <f t="shared" si="183"/>
        <v>#DIV/0!</v>
      </c>
      <c r="N132" s="37"/>
      <c r="O132" s="37">
        <f>H132-N132</f>
        <v>0</v>
      </c>
      <c r="P132" s="39" t="e">
        <f t="shared" si="184"/>
        <v>#DIV/0!</v>
      </c>
      <c r="Q132" s="149"/>
      <c r="R132" s="149"/>
      <c r="S132" s="373"/>
    </row>
    <row r="133" spans="1:19" s="28" customFormat="1" ht="86.25" customHeight="1" x14ac:dyDescent="0.35">
      <c r="A133" s="167"/>
      <c r="B133" s="75" t="s">
        <v>8</v>
      </c>
      <c r="C133" s="75"/>
      <c r="D133" s="76"/>
      <c r="E133" s="76"/>
      <c r="F133" s="76"/>
      <c r="G133" s="76">
        <v>258459.6</v>
      </c>
      <c r="H133" s="76">
        <v>258459.6</v>
      </c>
      <c r="I133" s="76">
        <v>127762</v>
      </c>
      <c r="J133" s="77">
        <f t="shared" si="185"/>
        <v>0.49</v>
      </c>
      <c r="K133" s="76">
        <v>102684.43</v>
      </c>
      <c r="L133" s="78">
        <f t="shared" si="186"/>
        <v>0.4</v>
      </c>
      <c r="M133" s="78">
        <f t="shared" si="183"/>
        <v>0.8</v>
      </c>
      <c r="N133" s="76">
        <f>H133</f>
        <v>258459.6</v>
      </c>
      <c r="O133" s="76">
        <f t="shared" ref="O133" si="187">H133-N133</f>
        <v>0</v>
      </c>
      <c r="P133" s="78">
        <f t="shared" si="184"/>
        <v>1</v>
      </c>
      <c r="Q133" s="149"/>
      <c r="R133" s="149"/>
      <c r="S133" s="373"/>
    </row>
    <row r="134" spans="1:19" s="28" customFormat="1" ht="86.25" customHeight="1" x14ac:dyDescent="0.35">
      <c r="A134" s="167"/>
      <c r="B134" s="75" t="s">
        <v>19</v>
      </c>
      <c r="C134" s="75"/>
      <c r="D134" s="76"/>
      <c r="E134" s="76"/>
      <c r="F134" s="76"/>
      <c r="G134" s="76">
        <f>5113.76+2676.01</f>
        <v>7789.77</v>
      </c>
      <c r="H134" s="76">
        <f>5113.76+2676.01</f>
        <v>7789.77</v>
      </c>
      <c r="I134" s="76">
        <f>K134</f>
        <v>4642.76</v>
      </c>
      <c r="J134" s="77">
        <f t="shared" si="185"/>
        <v>0.6</v>
      </c>
      <c r="K134" s="76">
        <f>3645.96+996.8</f>
        <v>4642.76</v>
      </c>
      <c r="L134" s="184">
        <f t="shared" si="186"/>
        <v>0.59599999999999997</v>
      </c>
      <c r="M134" s="78">
        <f t="shared" si="183"/>
        <v>1</v>
      </c>
      <c r="N134" s="76">
        <f>H134</f>
        <v>7789.77</v>
      </c>
      <c r="O134" s="76">
        <f t="shared" ref="O134:O136" si="188">H134-N134</f>
        <v>0</v>
      </c>
      <c r="P134" s="78">
        <f t="shared" si="184"/>
        <v>1</v>
      </c>
      <c r="Q134" s="149"/>
      <c r="R134" s="149"/>
      <c r="S134" s="373"/>
    </row>
    <row r="135" spans="1:19" s="28" customFormat="1" ht="86.25" customHeight="1" x14ac:dyDescent="0.35">
      <c r="A135" s="167"/>
      <c r="B135" s="75" t="s">
        <v>22</v>
      </c>
      <c r="C135" s="75"/>
      <c r="D135" s="76"/>
      <c r="E135" s="76"/>
      <c r="F135" s="76"/>
      <c r="G135" s="76"/>
      <c r="H135" s="76"/>
      <c r="I135" s="76"/>
      <c r="J135" s="38" t="e">
        <f t="shared" si="185"/>
        <v>#DIV/0!</v>
      </c>
      <c r="K135" s="37"/>
      <c r="L135" s="39" t="e">
        <f t="shared" si="186"/>
        <v>#DIV/0!</v>
      </c>
      <c r="M135" s="39" t="e">
        <f t="shared" si="183"/>
        <v>#DIV/0!</v>
      </c>
      <c r="N135" s="37"/>
      <c r="O135" s="37">
        <f t="shared" si="188"/>
        <v>0</v>
      </c>
      <c r="P135" s="39" t="e">
        <f t="shared" si="184"/>
        <v>#DIV/0!</v>
      </c>
      <c r="Q135" s="149"/>
      <c r="R135" s="149"/>
      <c r="S135" s="373"/>
    </row>
    <row r="136" spans="1:19" s="28" customFormat="1" ht="86.25" customHeight="1" x14ac:dyDescent="0.35">
      <c r="A136" s="168"/>
      <c r="B136" s="75" t="s">
        <v>11</v>
      </c>
      <c r="C136" s="75"/>
      <c r="D136" s="76"/>
      <c r="E136" s="76"/>
      <c r="F136" s="76"/>
      <c r="G136" s="76"/>
      <c r="H136" s="79"/>
      <c r="I136" s="76"/>
      <c r="J136" s="38" t="e">
        <f t="shared" si="185"/>
        <v>#DIV/0!</v>
      </c>
      <c r="K136" s="37"/>
      <c r="L136" s="39" t="e">
        <f t="shared" si="186"/>
        <v>#DIV/0!</v>
      </c>
      <c r="M136" s="39" t="e">
        <f t="shared" si="183"/>
        <v>#DIV/0!</v>
      </c>
      <c r="N136" s="37"/>
      <c r="O136" s="37">
        <f t="shared" si="188"/>
        <v>0</v>
      </c>
      <c r="P136" s="39" t="e">
        <f t="shared" si="184"/>
        <v>#DIV/0!</v>
      </c>
      <c r="Q136" s="84"/>
      <c r="R136" s="84"/>
      <c r="S136" s="374"/>
    </row>
    <row r="137" spans="1:19" s="183" customFormat="1" ht="65.25" customHeight="1" x14ac:dyDescent="0.35">
      <c r="A137" s="152" t="s">
        <v>396</v>
      </c>
      <c r="B137" s="181" t="s">
        <v>398</v>
      </c>
      <c r="C137" s="154" t="s">
        <v>2</v>
      </c>
      <c r="D137" s="155">
        <f t="shared" ref="D137:I137" si="189">SUM(D138:D142)</f>
        <v>0</v>
      </c>
      <c r="E137" s="155">
        <f t="shared" si="189"/>
        <v>0</v>
      </c>
      <c r="F137" s="155">
        <f t="shared" si="189"/>
        <v>0</v>
      </c>
      <c r="G137" s="155">
        <f t="shared" si="189"/>
        <v>0</v>
      </c>
      <c r="H137" s="155">
        <f t="shared" si="189"/>
        <v>230</v>
      </c>
      <c r="I137" s="155">
        <f t="shared" si="189"/>
        <v>230</v>
      </c>
      <c r="J137" s="156">
        <f>I137/H137</f>
        <v>1</v>
      </c>
      <c r="K137" s="155">
        <f>SUM(K138:K142)</f>
        <v>230</v>
      </c>
      <c r="L137" s="182">
        <f>K137/H137</f>
        <v>1</v>
      </c>
      <c r="M137" s="73">
        <f>K137/I137</f>
        <v>1</v>
      </c>
      <c r="N137" s="155">
        <f>SUM(N138:N142)</f>
        <v>230</v>
      </c>
      <c r="O137" s="155">
        <f>H137-N137</f>
        <v>0</v>
      </c>
      <c r="P137" s="182">
        <f>N137/H137</f>
        <v>1</v>
      </c>
      <c r="Q137" s="173"/>
      <c r="R137" s="173"/>
      <c r="S137" s="68"/>
    </row>
    <row r="138" spans="1:19" s="28" customFormat="1" ht="33" customHeight="1" x14ac:dyDescent="0.35">
      <c r="A138" s="159"/>
      <c r="B138" s="75" t="s">
        <v>10</v>
      </c>
      <c r="C138" s="75"/>
      <c r="D138" s="76">
        <f t="shared" ref="D138:F142" si="190">D144</f>
        <v>0</v>
      </c>
      <c r="E138" s="76">
        <f t="shared" si="190"/>
        <v>0</v>
      </c>
      <c r="F138" s="76">
        <f t="shared" si="190"/>
        <v>0</v>
      </c>
      <c r="G138" s="76">
        <f>G144+G162</f>
        <v>0</v>
      </c>
      <c r="H138" s="76">
        <f>H144+H162</f>
        <v>0</v>
      </c>
      <c r="I138" s="76">
        <f>I144+I162</f>
        <v>0</v>
      </c>
      <c r="J138" s="38" t="e">
        <f>I138/H138</f>
        <v>#DIV/0!</v>
      </c>
      <c r="K138" s="37">
        <f>K144+K162</f>
        <v>0</v>
      </c>
      <c r="L138" s="39" t="e">
        <f>K138/H138</f>
        <v>#DIV/0!</v>
      </c>
      <c r="M138" s="39" t="e">
        <f>K138/I138</f>
        <v>#DIV/0!</v>
      </c>
      <c r="N138" s="37">
        <f>N144+N162</f>
        <v>0</v>
      </c>
      <c r="O138" s="37">
        <f>O144+O162</f>
        <v>0</v>
      </c>
      <c r="P138" s="39" t="e">
        <f>N138/H138</f>
        <v>#DIV/0!</v>
      </c>
      <c r="Q138" s="149"/>
      <c r="R138" s="149"/>
      <c r="S138" s="90"/>
    </row>
    <row r="139" spans="1:19" s="28" customFormat="1" ht="33" customHeight="1" x14ac:dyDescent="0.35">
      <c r="A139" s="159"/>
      <c r="B139" s="75" t="s">
        <v>8</v>
      </c>
      <c r="C139" s="75"/>
      <c r="D139" s="76">
        <f t="shared" si="190"/>
        <v>0</v>
      </c>
      <c r="E139" s="76">
        <f t="shared" si="190"/>
        <v>0</v>
      </c>
      <c r="F139" s="76">
        <f t="shared" si="190"/>
        <v>0</v>
      </c>
      <c r="G139" s="76">
        <f>G145</f>
        <v>0</v>
      </c>
      <c r="H139" s="76">
        <f>H145</f>
        <v>230</v>
      </c>
      <c r="I139" s="76">
        <f>I145</f>
        <v>230</v>
      </c>
      <c r="J139" s="77">
        <f>I139/H139</f>
        <v>1</v>
      </c>
      <c r="K139" s="76">
        <f>K145</f>
        <v>230</v>
      </c>
      <c r="L139" s="78">
        <f>K139/H139</f>
        <v>1</v>
      </c>
      <c r="M139" s="78">
        <f>K139/I139</f>
        <v>1</v>
      </c>
      <c r="N139" s="76">
        <f>N145</f>
        <v>230</v>
      </c>
      <c r="O139" s="76">
        <f>O145</f>
        <v>0</v>
      </c>
      <c r="P139" s="78">
        <f>N139/H139</f>
        <v>1</v>
      </c>
      <c r="Q139" s="149"/>
      <c r="R139" s="149"/>
      <c r="S139" s="90"/>
    </row>
    <row r="140" spans="1:19" s="28" customFormat="1" ht="33" customHeight="1" x14ac:dyDescent="0.35">
      <c r="A140" s="159"/>
      <c r="B140" s="75" t="s">
        <v>19</v>
      </c>
      <c r="C140" s="75"/>
      <c r="D140" s="76">
        <f t="shared" si="190"/>
        <v>0</v>
      </c>
      <c r="E140" s="76">
        <f t="shared" si="190"/>
        <v>0</v>
      </c>
      <c r="F140" s="76">
        <f t="shared" si="190"/>
        <v>0</v>
      </c>
      <c r="G140" s="76">
        <f t="shared" ref="G140:I142" si="191">G146+G164</f>
        <v>0</v>
      </c>
      <c r="H140" s="76">
        <f t="shared" si="191"/>
        <v>0</v>
      </c>
      <c r="I140" s="76">
        <f t="shared" si="191"/>
        <v>0</v>
      </c>
      <c r="J140" s="77"/>
      <c r="K140" s="76"/>
      <c r="L140" s="78"/>
      <c r="M140" s="78"/>
      <c r="N140" s="76"/>
      <c r="O140" s="76"/>
      <c r="P140" s="78"/>
      <c r="Q140" s="149"/>
      <c r="R140" s="149"/>
      <c r="S140" s="90"/>
    </row>
    <row r="141" spans="1:19" s="28" customFormat="1" ht="33" customHeight="1" x14ac:dyDescent="0.35">
      <c r="A141" s="159"/>
      <c r="B141" s="80" t="s">
        <v>22</v>
      </c>
      <c r="C141" s="80"/>
      <c r="D141" s="76">
        <f t="shared" si="190"/>
        <v>0</v>
      </c>
      <c r="E141" s="76">
        <f t="shared" si="190"/>
        <v>0</v>
      </c>
      <c r="F141" s="76">
        <f t="shared" si="190"/>
        <v>0</v>
      </c>
      <c r="G141" s="76">
        <f t="shared" si="191"/>
        <v>0</v>
      </c>
      <c r="H141" s="76">
        <f t="shared" si="191"/>
        <v>0</v>
      </c>
      <c r="I141" s="76">
        <f t="shared" si="191"/>
        <v>0</v>
      </c>
      <c r="J141" s="38" t="e">
        <f>I141/H141</f>
        <v>#DIV/0!</v>
      </c>
      <c r="K141" s="37">
        <f>K147+K165</f>
        <v>0</v>
      </c>
      <c r="L141" s="39" t="e">
        <f>K141/H141</f>
        <v>#DIV/0!</v>
      </c>
      <c r="M141" s="39" t="e">
        <f>K141/I141</f>
        <v>#DIV/0!</v>
      </c>
      <c r="N141" s="37">
        <f>N147+N165</f>
        <v>0</v>
      </c>
      <c r="O141" s="37">
        <f>O147+O165</f>
        <v>0</v>
      </c>
      <c r="P141" s="39" t="e">
        <f>N141/H141</f>
        <v>#DIV/0!</v>
      </c>
      <c r="Q141" s="149"/>
      <c r="R141" s="149"/>
      <c r="S141" s="90"/>
    </row>
    <row r="142" spans="1:19" s="28" customFormat="1" ht="33" customHeight="1" x14ac:dyDescent="0.35">
      <c r="A142" s="162"/>
      <c r="B142" s="75" t="s">
        <v>11</v>
      </c>
      <c r="C142" s="75"/>
      <c r="D142" s="76">
        <f t="shared" si="190"/>
        <v>0</v>
      </c>
      <c r="E142" s="76">
        <f t="shared" si="190"/>
        <v>0</v>
      </c>
      <c r="F142" s="76">
        <f t="shared" si="190"/>
        <v>0</v>
      </c>
      <c r="G142" s="76">
        <f t="shared" si="191"/>
        <v>0</v>
      </c>
      <c r="H142" s="76">
        <f t="shared" si="191"/>
        <v>0</v>
      </c>
      <c r="I142" s="76">
        <f t="shared" si="191"/>
        <v>0</v>
      </c>
      <c r="J142" s="38" t="e">
        <f>I142/H142</f>
        <v>#DIV/0!</v>
      </c>
      <c r="K142" s="37">
        <f>K148+K166</f>
        <v>0</v>
      </c>
      <c r="L142" s="39" t="e">
        <f>K142/H142</f>
        <v>#DIV/0!</v>
      </c>
      <c r="M142" s="39" t="e">
        <f>K142/I142</f>
        <v>#DIV/0!</v>
      </c>
      <c r="N142" s="37">
        <f>N148+N166</f>
        <v>0</v>
      </c>
      <c r="O142" s="37">
        <f>O148+O166</f>
        <v>0</v>
      </c>
      <c r="P142" s="39" t="e">
        <f>N142/H142</f>
        <v>#DIV/0!</v>
      </c>
      <c r="Q142" s="84"/>
      <c r="R142" s="84"/>
      <c r="S142" s="90"/>
    </row>
    <row r="143" spans="1:19" s="28" customFormat="1" ht="139.5" x14ac:dyDescent="0.35">
      <c r="A143" s="67" t="s">
        <v>397</v>
      </c>
      <c r="B143" s="69" t="s">
        <v>408</v>
      </c>
      <c r="C143" s="69" t="s">
        <v>17</v>
      </c>
      <c r="D143" s="70">
        <f t="shared" ref="D143:I143" si="192">SUM(D144:D148)</f>
        <v>0</v>
      </c>
      <c r="E143" s="70">
        <f t="shared" si="192"/>
        <v>0</v>
      </c>
      <c r="F143" s="70">
        <f t="shared" si="192"/>
        <v>0</v>
      </c>
      <c r="G143" s="70">
        <f t="shared" si="192"/>
        <v>0</v>
      </c>
      <c r="H143" s="70">
        <f t="shared" si="192"/>
        <v>230</v>
      </c>
      <c r="I143" s="70">
        <f t="shared" si="192"/>
        <v>230</v>
      </c>
      <c r="J143" s="72">
        <f>I143/H143</f>
        <v>1</v>
      </c>
      <c r="K143" s="70">
        <f>SUM(K144:K148)</f>
        <v>230</v>
      </c>
      <c r="L143" s="73">
        <f>K143/H143</f>
        <v>1</v>
      </c>
      <c r="M143" s="73">
        <f>K143/I143</f>
        <v>1</v>
      </c>
      <c r="N143" s="70">
        <f>SUM(N144:N148)</f>
        <v>230</v>
      </c>
      <c r="O143" s="70">
        <f>SUM(O144:O148)</f>
        <v>0</v>
      </c>
      <c r="P143" s="73">
        <f>N143/H143</f>
        <v>1</v>
      </c>
      <c r="Q143" s="165"/>
      <c r="R143" s="165"/>
      <c r="S143" s="89" t="s">
        <v>421</v>
      </c>
    </row>
    <row r="144" spans="1:19" s="28" customFormat="1" ht="33" customHeight="1" x14ac:dyDescent="0.35">
      <c r="A144" s="167"/>
      <c r="B144" s="75" t="s">
        <v>10</v>
      </c>
      <c r="C144" s="75"/>
      <c r="D144" s="76"/>
      <c r="E144" s="76"/>
      <c r="F144" s="76"/>
      <c r="G144" s="76">
        <f>G150+G156</f>
        <v>0</v>
      </c>
      <c r="H144" s="76">
        <f>H150+H156</f>
        <v>0</v>
      </c>
      <c r="I144" s="76">
        <f>I150+I156</f>
        <v>0</v>
      </c>
      <c r="J144" s="38" t="e">
        <f>I144/H144</f>
        <v>#DIV/0!</v>
      </c>
      <c r="K144" s="37">
        <f>K150+K156</f>
        <v>0</v>
      </c>
      <c r="L144" s="39" t="e">
        <f>K144/H144</f>
        <v>#DIV/0!</v>
      </c>
      <c r="M144" s="39" t="e">
        <f>K144/I144</f>
        <v>#DIV/0!</v>
      </c>
      <c r="N144" s="37">
        <f>N150+N156</f>
        <v>0</v>
      </c>
      <c r="O144" s="37">
        <f>H144-N144</f>
        <v>0</v>
      </c>
      <c r="P144" s="39" t="e">
        <f>N144/H144</f>
        <v>#DIV/0!</v>
      </c>
      <c r="Q144" s="149"/>
      <c r="R144" s="149"/>
      <c r="S144" s="90"/>
    </row>
    <row r="145" spans="1:19" s="28" customFormat="1" ht="33" customHeight="1" x14ac:dyDescent="0.35">
      <c r="A145" s="167"/>
      <c r="B145" s="75" t="s">
        <v>8</v>
      </c>
      <c r="C145" s="75"/>
      <c r="D145" s="76"/>
      <c r="E145" s="76"/>
      <c r="F145" s="76"/>
      <c r="G145" s="76"/>
      <c r="H145" s="76">
        <v>230</v>
      </c>
      <c r="I145" s="76">
        <v>230</v>
      </c>
      <c r="J145" s="77">
        <f>I145/H145</f>
        <v>1</v>
      </c>
      <c r="K145" s="76">
        <v>230</v>
      </c>
      <c r="L145" s="78">
        <f>K145/H145</f>
        <v>1</v>
      </c>
      <c r="M145" s="78">
        <f>K145/I145</f>
        <v>1</v>
      </c>
      <c r="N145" s="76">
        <f>H145</f>
        <v>230</v>
      </c>
      <c r="O145" s="76">
        <f>H145-N145</f>
        <v>0</v>
      </c>
      <c r="P145" s="78">
        <f>N145/H145</f>
        <v>1</v>
      </c>
      <c r="Q145" s="149"/>
      <c r="R145" s="149"/>
      <c r="S145" s="90"/>
    </row>
    <row r="146" spans="1:19" s="28" customFormat="1" ht="33" customHeight="1" x14ac:dyDescent="0.35">
      <c r="A146" s="167"/>
      <c r="B146" s="75" t="s">
        <v>19</v>
      </c>
      <c r="C146" s="75"/>
      <c r="D146" s="76"/>
      <c r="E146" s="76"/>
      <c r="F146" s="76"/>
      <c r="G146" s="76"/>
      <c r="H146" s="76"/>
      <c r="I146" s="76"/>
      <c r="J146" s="77"/>
      <c r="K146" s="76"/>
      <c r="L146" s="78"/>
      <c r="M146" s="78"/>
      <c r="N146" s="76"/>
      <c r="O146" s="76"/>
      <c r="P146" s="78"/>
      <c r="Q146" s="149"/>
      <c r="R146" s="149"/>
      <c r="S146" s="90"/>
    </row>
    <row r="147" spans="1:19" s="28" customFormat="1" ht="33" customHeight="1" x14ac:dyDescent="0.35">
      <c r="A147" s="167"/>
      <c r="B147" s="75" t="s">
        <v>22</v>
      </c>
      <c r="C147" s="75"/>
      <c r="D147" s="76"/>
      <c r="E147" s="76"/>
      <c r="F147" s="76"/>
      <c r="G147" s="76">
        <f>G153+G159</f>
        <v>0</v>
      </c>
      <c r="H147" s="76">
        <f>H153+H159</f>
        <v>0</v>
      </c>
      <c r="I147" s="76">
        <f>I153</f>
        <v>0</v>
      </c>
      <c r="J147" s="38" t="e">
        <f>I147/H147</f>
        <v>#DIV/0!</v>
      </c>
      <c r="K147" s="37">
        <f>K153+K159</f>
        <v>0</v>
      </c>
      <c r="L147" s="39" t="e">
        <f>K147/H147</f>
        <v>#DIV/0!</v>
      </c>
      <c r="M147" s="39" t="e">
        <f>K147/I147</f>
        <v>#DIV/0!</v>
      </c>
      <c r="N147" s="37">
        <f>N153+N159</f>
        <v>0</v>
      </c>
      <c r="O147" s="37">
        <f>H147-N147</f>
        <v>0</v>
      </c>
      <c r="P147" s="39" t="e">
        <f>N147/H147</f>
        <v>#DIV/0!</v>
      </c>
      <c r="Q147" s="149"/>
      <c r="R147" s="149"/>
      <c r="S147" s="90"/>
    </row>
    <row r="148" spans="1:19" s="28" customFormat="1" ht="85.5" customHeight="1" x14ac:dyDescent="0.35">
      <c r="A148" s="168"/>
      <c r="B148" s="75" t="s">
        <v>11</v>
      </c>
      <c r="C148" s="75"/>
      <c r="D148" s="76"/>
      <c r="E148" s="76"/>
      <c r="F148" s="76"/>
      <c r="G148" s="76">
        <f>G154+G160</f>
        <v>0</v>
      </c>
      <c r="H148" s="76">
        <f>H154+H160</f>
        <v>0</v>
      </c>
      <c r="I148" s="76">
        <f>I154</f>
        <v>0</v>
      </c>
      <c r="J148" s="38" t="e">
        <f>I148/H148</f>
        <v>#DIV/0!</v>
      </c>
      <c r="K148" s="37">
        <f>K154+K160</f>
        <v>0</v>
      </c>
      <c r="L148" s="39" t="e">
        <f>K148/H148</f>
        <v>#DIV/0!</v>
      </c>
      <c r="M148" s="39" t="e">
        <f>K148/I148</f>
        <v>#DIV/0!</v>
      </c>
      <c r="N148" s="37">
        <f>N154+N160</f>
        <v>0</v>
      </c>
      <c r="O148" s="37">
        <f>H148-N148</f>
        <v>0</v>
      </c>
      <c r="P148" s="39" t="e">
        <f>N148/H148</f>
        <v>#DIV/0!</v>
      </c>
      <c r="Q148" s="84"/>
      <c r="R148" s="84"/>
      <c r="S148" s="85"/>
    </row>
    <row r="149" spans="1:19" ht="126" customHeight="1" x14ac:dyDescent="0.35">
      <c r="A149" s="396" t="s">
        <v>25</v>
      </c>
      <c r="B149" s="190" t="s">
        <v>273</v>
      </c>
      <c r="C149" s="138" t="s">
        <v>9</v>
      </c>
      <c r="D149" s="139" t="e">
        <f>SUM(D150:D154)</f>
        <v>#REF!</v>
      </c>
      <c r="E149" s="139" t="e">
        <f t="shared" ref="E149:H149" si="193">SUM(E150:E154)</f>
        <v>#REF!</v>
      </c>
      <c r="F149" s="139" t="e">
        <f t="shared" si="193"/>
        <v>#REF!</v>
      </c>
      <c r="G149" s="139">
        <f t="shared" si="193"/>
        <v>349410.84</v>
      </c>
      <c r="H149" s="139">
        <f t="shared" si="193"/>
        <v>356357.94</v>
      </c>
      <c r="I149" s="139">
        <f t="shared" ref="I149" si="194">SUM(I150:I154)</f>
        <v>133276.93</v>
      </c>
      <c r="J149" s="140">
        <f>I149/H149</f>
        <v>0.37</v>
      </c>
      <c r="K149" s="139">
        <f t="shared" ref="K149" si="195">SUM(K150:K154)</f>
        <v>92851.11</v>
      </c>
      <c r="L149" s="140">
        <f>K149/H149</f>
        <v>0.26</v>
      </c>
      <c r="M149" s="140">
        <f>K149/I149</f>
        <v>0.7</v>
      </c>
      <c r="N149" s="139">
        <f t="shared" ref="N149:O149" si="196">SUM(N150:N154)</f>
        <v>349410.84</v>
      </c>
      <c r="O149" s="139">
        <f t="shared" si="196"/>
        <v>6947.1</v>
      </c>
      <c r="P149" s="140">
        <f t="shared" ref="P149:P172" si="197">N149/H149</f>
        <v>0.98</v>
      </c>
      <c r="Q149" s="191"/>
      <c r="R149" s="191"/>
      <c r="S149" s="381" t="s">
        <v>410</v>
      </c>
    </row>
    <row r="150" spans="1:19" ht="37.5" customHeight="1" x14ac:dyDescent="0.35">
      <c r="A150" s="397"/>
      <c r="B150" s="145" t="s">
        <v>10</v>
      </c>
      <c r="C150" s="145"/>
      <c r="D150" s="146" t="e">
        <f>D156</f>
        <v>#REF!</v>
      </c>
      <c r="E150" s="146" t="e">
        <f t="shared" ref="E150:F150" si="198">E156</f>
        <v>#REF!</v>
      </c>
      <c r="F150" s="146" t="e">
        <f t="shared" si="198"/>
        <v>#REF!</v>
      </c>
      <c r="G150" s="352">
        <f t="shared" ref="G150:I154" si="199">G156+G192</f>
        <v>0</v>
      </c>
      <c r="H150" s="352">
        <f t="shared" si="199"/>
        <v>0</v>
      </c>
      <c r="I150" s="352">
        <f t="shared" si="199"/>
        <v>0</v>
      </c>
      <c r="J150" s="353" t="e">
        <f t="shared" ref="J150" si="200">I150/H150</f>
        <v>#DIV/0!</v>
      </c>
      <c r="K150" s="352">
        <f>K156+K192</f>
        <v>0</v>
      </c>
      <c r="L150" s="354" t="e">
        <f t="shared" ref="L150:L153" si="201">K150/H150</f>
        <v>#DIV/0!</v>
      </c>
      <c r="M150" s="353" t="e">
        <f t="shared" ref="M150" si="202">K150/I150</f>
        <v>#DIV/0!</v>
      </c>
      <c r="N150" s="352">
        <f t="shared" ref="N150:O153" si="203">N156+N192</f>
        <v>0</v>
      </c>
      <c r="O150" s="352">
        <f t="shared" si="203"/>
        <v>0</v>
      </c>
      <c r="P150" s="354" t="e">
        <f t="shared" si="197"/>
        <v>#DIV/0!</v>
      </c>
      <c r="Q150" s="149"/>
      <c r="R150" s="149"/>
      <c r="S150" s="366"/>
    </row>
    <row r="151" spans="1:19" x14ac:dyDescent="0.35">
      <c r="A151" s="397"/>
      <c r="B151" s="145" t="s">
        <v>8</v>
      </c>
      <c r="C151" s="145"/>
      <c r="D151" s="146" t="e">
        <f t="shared" ref="D151:F151" si="204">D157</f>
        <v>#REF!</v>
      </c>
      <c r="E151" s="146" t="e">
        <f t="shared" si="204"/>
        <v>#REF!</v>
      </c>
      <c r="F151" s="146" t="e">
        <f t="shared" si="204"/>
        <v>#REF!</v>
      </c>
      <c r="G151" s="146">
        <f t="shared" si="199"/>
        <v>330077.40000000002</v>
      </c>
      <c r="H151" s="146">
        <f t="shared" si="199"/>
        <v>337024.5</v>
      </c>
      <c r="I151" s="146">
        <f t="shared" si="199"/>
        <v>130351.27</v>
      </c>
      <c r="J151" s="147">
        <f>I151/H151</f>
        <v>0.39</v>
      </c>
      <c r="K151" s="146">
        <f>K157+K193</f>
        <v>89925.45</v>
      </c>
      <c r="L151" s="148">
        <f t="shared" si="201"/>
        <v>0.27</v>
      </c>
      <c r="M151" s="147">
        <f>K151/I151</f>
        <v>0.69</v>
      </c>
      <c r="N151" s="146">
        <f t="shared" si="203"/>
        <v>330077.40000000002</v>
      </c>
      <c r="O151" s="146">
        <f t="shared" si="203"/>
        <v>6947.1</v>
      </c>
      <c r="P151" s="148">
        <f t="shared" si="197"/>
        <v>0.98</v>
      </c>
      <c r="Q151" s="149"/>
      <c r="R151" s="149"/>
      <c r="S151" s="366"/>
    </row>
    <row r="152" spans="1:19" x14ac:dyDescent="0.35">
      <c r="A152" s="397"/>
      <c r="B152" s="178" t="s">
        <v>19</v>
      </c>
      <c r="C152" s="178"/>
      <c r="D152" s="146" t="e">
        <f t="shared" ref="D152:F152" si="205">D158</f>
        <v>#REF!</v>
      </c>
      <c r="E152" s="146" t="e">
        <f t="shared" si="205"/>
        <v>#REF!</v>
      </c>
      <c r="F152" s="146" t="e">
        <f t="shared" si="205"/>
        <v>#REF!</v>
      </c>
      <c r="G152" s="146">
        <f t="shared" si="199"/>
        <v>19333.439999999999</v>
      </c>
      <c r="H152" s="146">
        <f t="shared" si="199"/>
        <v>19333.439999999999</v>
      </c>
      <c r="I152" s="146">
        <f t="shared" si="199"/>
        <v>2925.66</v>
      </c>
      <c r="J152" s="147">
        <f t="shared" ref="J152:J153" si="206">I152/H152</f>
        <v>0.15</v>
      </c>
      <c r="K152" s="146">
        <f>K158+K194</f>
        <v>2925.66</v>
      </c>
      <c r="L152" s="148">
        <f t="shared" si="201"/>
        <v>0.15</v>
      </c>
      <c r="M152" s="147">
        <f t="shared" ref="M152:M153" si="207">K152/I152</f>
        <v>1</v>
      </c>
      <c r="N152" s="146">
        <f t="shared" si="203"/>
        <v>19333.439999999999</v>
      </c>
      <c r="O152" s="146">
        <f t="shared" si="203"/>
        <v>0</v>
      </c>
      <c r="P152" s="148">
        <f t="shared" si="197"/>
        <v>1</v>
      </c>
      <c r="Q152" s="149"/>
      <c r="R152" s="149"/>
      <c r="S152" s="366"/>
    </row>
    <row r="153" spans="1:19" ht="35.25" customHeight="1" x14ac:dyDescent="0.35">
      <c r="A153" s="397"/>
      <c r="B153" s="145" t="s">
        <v>22</v>
      </c>
      <c r="C153" s="145"/>
      <c r="D153" s="146" t="e">
        <f t="shared" ref="D153:F153" si="208">D159</f>
        <v>#REF!</v>
      </c>
      <c r="E153" s="146" t="e">
        <f t="shared" si="208"/>
        <v>#REF!</v>
      </c>
      <c r="F153" s="146" t="e">
        <f t="shared" si="208"/>
        <v>#REF!</v>
      </c>
      <c r="G153" s="352">
        <f t="shared" si="199"/>
        <v>0</v>
      </c>
      <c r="H153" s="352">
        <f t="shared" si="199"/>
        <v>0</v>
      </c>
      <c r="I153" s="352">
        <f t="shared" si="199"/>
        <v>0</v>
      </c>
      <c r="J153" s="353" t="e">
        <f t="shared" si="206"/>
        <v>#DIV/0!</v>
      </c>
      <c r="K153" s="352">
        <f>K159+K195</f>
        <v>0</v>
      </c>
      <c r="L153" s="354" t="e">
        <f t="shared" si="201"/>
        <v>#DIV/0!</v>
      </c>
      <c r="M153" s="353" t="e">
        <f t="shared" si="207"/>
        <v>#DIV/0!</v>
      </c>
      <c r="N153" s="352">
        <f t="shared" si="203"/>
        <v>0</v>
      </c>
      <c r="O153" s="352">
        <f t="shared" si="203"/>
        <v>0</v>
      </c>
      <c r="P153" s="354" t="e">
        <f t="shared" si="197"/>
        <v>#DIV/0!</v>
      </c>
      <c r="Q153" s="149"/>
      <c r="R153" s="149"/>
      <c r="S153" s="366"/>
    </row>
    <row r="154" spans="1:19" ht="33.75" customHeight="1" x14ac:dyDescent="0.35">
      <c r="A154" s="398"/>
      <c r="B154" s="145" t="s">
        <v>11</v>
      </c>
      <c r="C154" s="145"/>
      <c r="D154" s="146" t="e">
        <f t="shared" ref="D154:F154" si="209">D160</f>
        <v>#REF!</v>
      </c>
      <c r="E154" s="146" t="e">
        <f t="shared" si="209"/>
        <v>#REF!</v>
      </c>
      <c r="F154" s="146" t="e">
        <f t="shared" si="209"/>
        <v>#REF!</v>
      </c>
      <c r="G154" s="352">
        <f t="shared" si="199"/>
        <v>0</v>
      </c>
      <c r="H154" s="352">
        <f t="shared" si="199"/>
        <v>0</v>
      </c>
      <c r="I154" s="352">
        <f t="shared" si="199"/>
        <v>0</v>
      </c>
      <c r="J154" s="353"/>
      <c r="K154" s="352"/>
      <c r="L154" s="354"/>
      <c r="M154" s="353"/>
      <c r="N154" s="352"/>
      <c r="O154" s="352"/>
      <c r="P154" s="354"/>
      <c r="Q154" s="84"/>
      <c r="R154" s="84"/>
      <c r="S154" s="367"/>
    </row>
    <row r="155" spans="1:19" s="193" customFormat="1" ht="46.5" x14ac:dyDescent="0.35">
      <c r="A155" s="152" t="s">
        <v>110</v>
      </c>
      <c r="B155" s="154" t="s">
        <v>33</v>
      </c>
      <c r="C155" s="154" t="s">
        <v>2</v>
      </c>
      <c r="D155" s="155" t="e">
        <f t="shared" ref="D155:I155" si="210">SUM(D156:D160)</f>
        <v>#REF!</v>
      </c>
      <c r="E155" s="155" t="e">
        <f t="shared" si="210"/>
        <v>#REF!</v>
      </c>
      <c r="F155" s="155" t="e">
        <f t="shared" si="210"/>
        <v>#REF!</v>
      </c>
      <c r="G155" s="155">
        <f t="shared" si="210"/>
        <v>306929.74</v>
      </c>
      <c r="H155" s="155">
        <f t="shared" si="210"/>
        <v>306929.74</v>
      </c>
      <c r="I155" s="155">
        <f t="shared" si="210"/>
        <v>103752.06</v>
      </c>
      <c r="J155" s="156">
        <f>I155/H155</f>
        <v>0.34</v>
      </c>
      <c r="K155" s="155">
        <f>SUM(K156:K160)</f>
        <v>92851.11</v>
      </c>
      <c r="L155" s="125">
        <f t="shared" ref="L155:L160" si="211">K155/H155</f>
        <v>0.3</v>
      </c>
      <c r="M155" s="182">
        <f t="shared" ref="M155:M176" si="212">K155/I155</f>
        <v>0.89</v>
      </c>
      <c r="N155" s="155">
        <f t="shared" ref="N155" si="213">SUM(N156:N160)</f>
        <v>306929.74</v>
      </c>
      <c r="O155" s="155">
        <f t="shared" ref="O155" si="214">H155-N155</f>
        <v>0</v>
      </c>
      <c r="P155" s="125">
        <f t="shared" si="197"/>
        <v>1</v>
      </c>
      <c r="Q155" s="126"/>
      <c r="R155" s="126"/>
      <c r="S155" s="192"/>
    </row>
    <row r="156" spans="1:19" s="28" customFormat="1" ht="39" customHeight="1" x14ac:dyDescent="0.35">
      <c r="A156" s="159"/>
      <c r="B156" s="75" t="s">
        <v>10</v>
      </c>
      <c r="C156" s="75"/>
      <c r="D156" s="76" t="e">
        <f>#REF!</f>
        <v>#REF!</v>
      </c>
      <c r="E156" s="76" t="e">
        <f>#REF!</f>
        <v>#REF!</v>
      </c>
      <c r="F156" s="76" t="e">
        <f>#REF!</f>
        <v>#REF!</v>
      </c>
      <c r="G156" s="76">
        <f t="shared" ref="G156:I159" si="215">G162+G168+G174+G180+G186</f>
        <v>0</v>
      </c>
      <c r="H156" s="76">
        <f t="shared" si="215"/>
        <v>0</v>
      </c>
      <c r="I156" s="76">
        <f t="shared" si="215"/>
        <v>0</v>
      </c>
      <c r="J156" s="38" t="e">
        <f>I156/H156</f>
        <v>#DIV/0!</v>
      </c>
      <c r="K156" s="37">
        <f>K162+K168+K174+K180+K186</f>
        <v>0</v>
      </c>
      <c r="L156" s="39" t="e">
        <f t="shared" si="211"/>
        <v>#DIV/0!</v>
      </c>
      <c r="M156" s="39" t="e">
        <f t="shared" si="212"/>
        <v>#DIV/0!</v>
      </c>
      <c r="N156" s="37">
        <f t="shared" ref="N156:O159" si="216">N162+N168+N174+N180+N186</f>
        <v>0</v>
      </c>
      <c r="O156" s="37">
        <f t="shared" si="216"/>
        <v>0</v>
      </c>
      <c r="P156" s="39" t="e">
        <f t="shared" si="197"/>
        <v>#DIV/0!</v>
      </c>
      <c r="Q156" s="149"/>
      <c r="R156" s="149"/>
      <c r="S156" s="194"/>
    </row>
    <row r="157" spans="1:19" s="28" customFormat="1" ht="39" customHeight="1" x14ac:dyDescent="0.35">
      <c r="A157" s="159"/>
      <c r="B157" s="75" t="s">
        <v>8</v>
      </c>
      <c r="C157" s="75"/>
      <c r="D157" s="76" t="e">
        <f>#REF!</f>
        <v>#REF!</v>
      </c>
      <c r="E157" s="76" t="e">
        <f>#REF!</f>
        <v>#REF!</v>
      </c>
      <c r="F157" s="76" t="e">
        <f>#REF!</f>
        <v>#REF!</v>
      </c>
      <c r="G157" s="76">
        <f t="shared" si="215"/>
        <v>287596.3</v>
      </c>
      <c r="H157" s="76">
        <f t="shared" si="215"/>
        <v>287596.3</v>
      </c>
      <c r="I157" s="76">
        <f t="shared" si="215"/>
        <v>100826.4</v>
      </c>
      <c r="J157" s="77">
        <f t="shared" ref="J157:J160" si="217">I157/H157</f>
        <v>0.35</v>
      </c>
      <c r="K157" s="76">
        <f>K163+K169+K175+K181+K187</f>
        <v>89925.45</v>
      </c>
      <c r="L157" s="78">
        <f t="shared" si="211"/>
        <v>0.31</v>
      </c>
      <c r="M157" s="78">
        <f t="shared" si="212"/>
        <v>0.89</v>
      </c>
      <c r="N157" s="76">
        <f t="shared" si="216"/>
        <v>287596.3</v>
      </c>
      <c r="O157" s="76">
        <f t="shared" si="216"/>
        <v>0</v>
      </c>
      <c r="P157" s="78">
        <f t="shared" si="197"/>
        <v>1</v>
      </c>
      <c r="Q157" s="149"/>
      <c r="R157" s="149"/>
      <c r="S157" s="194"/>
    </row>
    <row r="158" spans="1:19" s="28" customFormat="1" ht="33" customHeight="1" x14ac:dyDescent="0.35">
      <c r="A158" s="159"/>
      <c r="B158" s="75" t="s">
        <v>19</v>
      </c>
      <c r="C158" s="75"/>
      <c r="D158" s="76" t="e">
        <f>#REF!</f>
        <v>#REF!</v>
      </c>
      <c r="E158" s="76" t="e">
        <f>#REF!</f>
        <v>#REF!</v>
      </c>
      <c r="F158" s="76" t="e">
        <f>#REF!</f>
        <v>#REF!</v>
      </c>
      <c r="G158" s="76">
        <f t="shared" si="215"/>
        <v>19333.439999999999</v>
      </c>
      <c r="H158" s="76">
        <f t="shared" si="215"/>
        <v>19333.439999999999</v>
      </c>
      <c r="I158" s="76">
        <f t="shared" si="215"/>
        <v>2925.66</v>
      </c>
      <c r="J158" s="77">
        <f t="shared" si="217"/>
        <v>0.15</v>
      </c>
      <c r="K158" s="76">
        <f>K164+K170+K176+K182+K188</f>
        <v>2925.66</v>
      </c>
      <c r="L158" s="78">
        <f t="shared" si="211"/>
        <v>0.15</v>
      </c>
      <c r="M158" s="78">
        <f t="shared" si="212"/>
        <v>1</v>
      </c>
      <c r="N158" s="76">
        <f t="shared" si="216"/>
        <v>19333.439999999999</v>
      </c>
      <c r="O158" s="76">
        <f t="shared" si="216"/>
        <v>0</v>
      </c>
      <c r="P158" s="78">
        <f t="shared" si="197"/>
        <v>1</v>
      </c>
      <c r="Q158" s="149"/>
      <c r="R158" s="149"/>
      <c r="S158" s="194"/>
    </row>
    <row r="159" spans="1:19" s="28" customFormat="1" ht="39" customHeight="1" x14ac:dyDescent="0.35">
      <c r="A159" s="159"/>
      <c r="B159" s="75" t="s">
        <v>22</v>
      </c>
      <c r="C159" s="75"/>
      <c r="D159" s="76" t="e">
        <f>#REF!</f>
        <v>#REF!</v>
      </c>
      <c r="E159" s="76" t="e">
        <f>#REF!</f>
        <v>#REF!</v>
      </c>
      <c r="F159" s="76" t="e">
        <f>#REF!</f>
        <v>#REF!</v>
      </c>
      <c r="G159" s="76">
        <f t="shared" si="215"/>
        <v>0</v>
      </c>
      <c r="H159" s="76">
        <f t="shared" si="215"/>
        <v>0</v>
      </c>
      <c r="I159" s="76">
        <f t="shared" si="215"/>
        <v>0</v>
      </c>
      <c r="J159" s="38"/>
      <c r="K159" s="37">
        <f>K165+K171+K177+K183+K189</f>
        <v>0</v>
      </c>
      <c r="L159" s="46"/>
      <c r="M159" s="39"/>
      <c r="N159" s="37">
        <f t="shared" si="216"/>
        <v>0</v>
      </c>
      <c r="O159" s="37">
        <f t="shared" si="216"/>
        <v>0</v>
      </c>
      <c r="P159" s="39" t="e">
        <f t="shared" si="197"/>
        <v>#DIV/0!</v>
      </c>
      <c r="Q159" s="84"/>
      <c r="R159" s="84"/>
      <c r="S159" s="194"/>
    </row>
    <row r="160" spans="1:19" s="28" customFormat="1" ht="36.75" customHeight="1" x14ac:dyDescent="0.35">
      <c r="A160" s="162"/>
      <c r="B160" s="80" t="s">
        <v>11</v>
      </c>
      <c r="C160" s="80"/>
      <c r="D160" s="81" t="e">
        <f>#REF!</f>
        <v>#REF!</v>
      </c>
      <c r="E160" s="81" t="e">
        <f>#REF!</f>
        <v>#REF!</v>
      </c>
      <c r="F160" s="81" t="e">
        <f>#REF!</f>
        <v>#REF!</v>
      </c>
      <c r="G160" s="81">
        <f t="shared" ref="G160:I160" si="218">G166+G172+G178+G184</f>
        <v>0</v>
      </c>
      <c r="H160" s="81">
        <f t="shared" si="218"/>
        <v>0</v>
      </c>
      <c r="I160" s="81">
        <f t="shared" si="218"/>
        <v>0</v>
      </c>
      <c r="J160" s="43" t="e">
        <f t="shared" si="217"/>
        <v>#DIV/0!</v>
      </c>
      <c r="K160" s="41">
        <f t="shared" ref="K160" si="219">K166+K172+K178+K184</f>
        <v>0</v>
      </c>
      <c r="L160" s="44" t="e">
        <f t="shared" si="211"/>
        <v>#DIV/0!</v>
      </c>
      <c r="M160" s="44" t="e">
        <f t="shared" si="212"/>
        <v>#DIV/0!</v>
      </c>
      <c r="N160" s="41">
        <f t="shared" ref="N160:O160" si="220">N166+N172+N178+N184</f>
        <v>0</v>
      </c>
      <c r="O160" s="41">
        <f t="shared" si="220"/>
        <v>0</v>
      </c>
      <c r="P160" s="44" t="e">
        <f t="shared" si="197"/>
        <v>#DIV/0!</v>
      </c>
      <c r="Q160" s="84"/>
      <c r="R160" s="84"/>
      <c r="S160" s="195"/>
    </row>
    <row r="161" spans="1:19" s="28" customFormat="1" ht="213" customHeight="1" x14ac:dyDescent="0.35">
      <c r="A161" s="67" t="s">
        <v>115</v>
      </c>
      <c r="B161" s="69" t="s">
        <v>192</v>
      </c>
      <c r="C161" s="69" t="s">
        <v>17</v>
      </c>
      <c r="D161" s="70">
        <f t="shared" ref="D161:I161" si="221">SUM(D162:D166)</f>
        <v>0</v>
      </c>
      <c r="E161" s="70">
        <f t="shared" si="221"/>
        <v>0</v>
      </c>
      <c r="F161" s="70">
        <f t="shared" si="221"/>
        <v>0</v>
      </c>
      <c r="G161" s="70">
        <f t="shared" si="221"/>
        <v>86679.2</v>
      </c>
      <c r="H161" s="70">
        <f t="shared" si="221"/>
        <v>86679.2</v>
      </c>
      <c r="I161" s="70">
        <f t="shared" si="221"/>
        <v>34879.699999999997</v>
      </c>
      <c r="J161" s="72">
        <f>I161/H161</f>
        <v>0.4</v>
      </c>
      <c r="K161" s="70">
        <f>SUM(K162:K166)</f>
        <v>29491.63</v>
      </c>
      <c r="L161" s="189">
        <f>K161/H161</f>
        <v>0.34</v>
      </c>
      <c r="M161" s="73">
        <f t="shared" si="212"/>
        <v>0.85</v>
      </c>
      <c r="N161" s="70">
        <f t="shared" ref="N161" si="222">SUM(N162:N166)</f>
        <v>86679.2</v>
      </c>
      <c r="O161" s="70">
        <f t="shared" ref="O161:O172" si="223">H161-N161</f>
        <v>0</v>
      </c>
      <c r="P161" s="73">
        <f t="shared" si="197"/>
        <v>1</v>
      </c>
      <c r="Q161" s="70">
        <f t="shared" ref="Q161:Q172" si="224">H161-K161</f>
        <v>57187.57</v>
      </c>
      <c r="R161" s="70">
        <f t="shared" ref="R161:R172" si="225">I161-K161</f>
        <v>5388.07</v>
      </c>
      <c r="S161" s="369" t="s">
        <v>500</v>
      </c>
    </row>
    <row r="162" spans="1:19" s="28" customFormat="1" ht="120.75" customHeight="1" x14ac:dyDescent="0.35">
      <c r="A162" s="167"/>
      <c r="B162" s="75" t="s">
        <v>10</v>
      </c>
      <c r="C162" s="196"/>
      <c r="D162" s="197"/>
      <c r="E162" s="197"/>
      <c r="F162" s="197"/>
      <c r="G162" s="197"/>
      <c r="H162" s="197"/>
      <c r="I162" s="76"/>
      <c r="J162" s="38" t="e">
        <f t="shared" ref="J162:J166" si="226">I162/H162</f>
        <v>#DIV/0!</v>
      </c>
      <c r="K162" s="37"/>
      <c r="L162" s="46" t="e">
        <f t="shared" ref="L162:L166" si="227">K162/H162</f>
        <v>#DIV/0!</v>
      </c>
      <c r="M162" s="39" t="e">
        <f t="shared" si="212"/>
        <v>#DIV/0!</v>
      </c>
      <c r="N162" s="86">
        <f>H162</f>
        <v>0</v>
      </c>
      <c r="O162" s="86">
        <f t="shared" si="223"/>
        <v>0</v>
      </c>
      <c r="P162" s="66" t="e">
        <f t="shared" si="197"/>
        <v>#DIV/0!</v>
      </c>
      <c r="Q162" s="76">
        <f t="shared" si="224"/>
        <v>0</v>
      </c>
      <c r="R162" s="76">
        <f t="shared" si="225"/>
        <v>0</v>
      </c>
      <c r="S162" s="370"/>
    </row>
    <row r="163" spans="1:19" s="28" customFormat="1" ht="139.5" customHeight="1" x14ac:dyDescent="0.35">
      <c r="A163" s="167"/>
      <c r="B163" s="75" t="s">
        <v>8</v>
      </c>
      <c r="C163" s="196"/>
      <c r="D163" s="197"/>
      <c r="E163" s="197"/>
      <c r="F163" s="197"/>
      <c r="G163" s="197">
        <f>86679.2</f>
        <v>86679.2</v>
      </c>
      <c r="H163" s="197">
        <f>86679.2</f>
        <v>86679.2</v>
      </c>
      <c r="I163" s="197">
        <v>34879.699999999997</v>
      </c>
      <c r="J163" s="199">
        <f>I163/H163</f>
        <v>0.4</v>
      </c>
      <c r="K163" s="197">
        <v>29491.63</v>
      </c>
      <c r="L163" s="200">
        <f t="shared" si="227"/>
        <v>0.34</v>
      </c>
      <c r="M163" s="198">
        <f t="shared" si="212"/>
        <v>0.85</v>
      </c>
      <c r="N163" s="197">
        <f>H163</f>
        <v>86679.2</v>
      </c>
      <c r="O163" s="197">
        <f t="shared" si="223"/>
        <v>0</v>
      </c>
      <c r="P163" s="198">
        <f t="shared" si="197"/>
        <v>1</v>
      </c>
      <c r="Q163" s="76">
        <f t="shared" si="224"/>
        <v>57187.57</v>
      </c>
      <c r="R163" s="76">
        <f t="shared" si="225"/>
        <v>5388.07</v>
      </c>
      <c r="S163" s="370"/>
    </row>
    <row r="164" spans="1:19" s="28" customFormat="1" ht="115.5" customHeight="1" x14ac:dyDescent="0.35">
      <c r="A164" s="167"/>
      <c r="B164" s="75" t="s">
        <v>19</v>
      </c>
      <c r="C164" s="196"/>
      <c r="D164" s="197"/>
      <c r="E164" s="197"/>
      <c r="F164" s="197"/>
      <c r="G164" s="197"/>
      <c r="H164" s="197"/>
      <c r="I164" s="76"/>
      <c r="J164" s="38" t="e">
        <f t="shared" si="226"/>
        <v>#DIV/0!</v>
      </c>
      <c r="K164" s="37"/>
      <c r="L164" s="39" t="e">
        <f t="shared" si="227"/>
        <v>#DIV/0!</v>
      </c>
      <c r="M164" s="39" t="e">
        <f t="shared" si="212"/>
        <v>#DIV/0!</v>
      </c>
      <c r="N164" s="86"/>
      <c r="O164" s="86">
        <f t="shared" si="223"/>
        <v>0</v>
      </c>
      <c r="P164" s="66" t="e">
        <f t="shared" si="197"/>
        <v>#DIV/0!</v>
      </c>
      <c r="Q164" s="76">
        <f t="shared" si="224"/>
        <v>0</v>
      </c>
      <c r="R164" s="76">
        <f t="shared" si="225"/>
        <v>0</v>
      </c>
      <c r="S164" s="370"/>
    </row>
    <row r="165" spans="1:19" s="28" customFormat="1" ht="115.5" customHeight="1" x14ac:dyDescent="0.35">
      <c r="A165" s="167"/>
      <c r="B165" s="80" t="s">
        <v>22</v>
      </c>
      <c r="C165" s="80"/>
      <c r="D165" s="81"/>
      <c r="E165" s="81"/>
      <c r="F165" s="81"/>
      <c r="G165" s="81"/>
      <c r="H165" s="81"/>
      <c r="I165" s="81"/>
      <c r="J165" s="43" t="e">
        <f t="shared" si="226"/>
        <v>#DIV/0!</v>
      </c>
      <c r="K165" s="41"/>
      <c r="L165" s="44" t="e">
        <f t="shared" si="227"/>
        <v>#DIV/0!</v>
      </c>
      <c r="M165" s="44" t="e">
        <f t="shared" si="212"/>
        <v>#DIV/0!</v>
      </c>
      <c r="N165" s="41"/>
      <c r="O165" s="41">
        <f t="shared" si="223"/>
        <v>0</v>
      </c>
      <c r="P165" s="44" t="e">
        <f t="shared" si="197"/>
        <v>#DIV/0!</v>
      </c>
      <c r="Q165" s="81">
        <f t="shared" si="224"/>
        <v>0</v>
      </c>
      <c r="R165" s="81">
        <f t="shared" si="225"/>
        <v>0</v>
      </c>
      <c r="S165" s="370"/>
    </row>
    <row r="166" spans="1:19" s="28" customFormat="1" ht="185.25" customHeight="1" x14ac:dyDescent="0.35">
      <c r="A166" s="168"/>
      <c r="B166" s="75" t="s">
        <v>11</v>
      </c>
      <c r="C166" s="75"/>
      <c r="D166" s="76"/>
      <c r="E166" s="76"/>
      <c r="F166" s="76"/>
      <c r="G166" s="76"/>
      <c r="H166" s="76"/>
      <c r="I166" s="76"/>
      <c r="J166" s="38" t="e">
        <f t="shared" si="226"/>
        <v>#DIV/0!</v>
      </c>
      <c r="K166" s="37"/>
      <c r="L166" s="39" t="e">
        <f t="shared" si="227"/>
        <v>#DIV/0!</v>
      </c>
      <c r="M166" s="39" t="e">
        <f t="shared" si="212"/>
        <v>#DIV/0!</v>
      </c>
      <c r="N166" s="37"/>
      <c r="O166" s="37">
        <f t="shared" si="223"/>
        <v>0</v>
      </c>
      <c r="P166" s="39" t="e">
        <f t="shared" si="197"/>
        <v>#DIV/0!</v>
      </c>
      <c r="Q166" s="76">
        <f t="shared" si="224"/>
        <v>0</v>
      </c>
      <c r="R166" s="76">
        <f>I166-K166</f>
        <v>0</v>
      </c>
      <c r="S166" s="371"/>
    </row>
    <row r="167" spans="1:19" s="28" customFormat="1" ht="46.5" x14ac:dyDescent="0.35">
      <c r="A167" s="67" t="s">
        <v>116</v>
      </c>
      <c r="B167" s="69" t="s">
        <v>229</v>
      </c>
      <c r="C167" s="69" t="s">
        <v>17</v>
      </c>
      <c r="D167" s="70">
        <f t="shared" ref="D167:I167" si="228">SUM(D168:D172)</f>
        <v>0</v>
      </c>
      <c r="E167" s="70">
        <f t="shared" si="228"/>
        <v>0</v>
      </c>
      <c r="F167" s="70">
        <f t="shared" si="228"/>
        <v>0</v>
      </c>
      <c r="G167" s="76">
        <f t="shared" si="228"/>
        <v>73741.5</v>
      </c>
      <c r="H167" s="76">
        <f t="shared" si="228"/>
        <v>73741.5</v>
      </c>
      <c r="I167" s="76">
        <f t="shared" si="228"/>
        <v>33400</v>
      </c>
      <c r="J167" s="77">
        <f>I167/H167</f>
        <v>0.45</v>
      </c>
      <c r="K167" s="76">
        <f>SUM(K168:K172)</f>
        <v>29731.98</v>
      </c>
      <c r="L167" s="78">
        <f>K167/H167</f>
        <v>0.4</v>
      </c>
      <c r="M167" s="78">
        <f t="shared" si="212"/>
        <v>0.89</v>
      </c>
      <c r="N167" s="76">
        <f>SUM(N168:N172)</f>
        <v>73741.5</v>
      </c>
      <c r="O167" s="76">
        <f t="shared" si="223"/>
        <v>0</v>
      </c>
      <c r="P167" s="78">
        <f t="shared" si="197"/>
        <v>1</v>
      </c>
      <c r="Q167" s="76">
        <f t="shared" si="224"/>
        <v>44009.52</v>
      </c>
      <c r="R167" s="76">
        <f t="shared" si="225"/>
        <v>3668.02</v>
      </c>
      <c r="S167" s="372" t="s">
        <v>426</v>
      </c>
    </row>
    <row r="168" spans="1:19" s="28" customFormat="1" ht="45.75" customHeight="1" x14ac:dyDescent="0.35">
      <c r="A168" s="167"/>
      <c r="B168" s="75" t="s">
        <v>10</v>
      </c>
      <c r="C168" s="75"/>
      <c r="D168" s="76"/>
      <c r="E168" s="76"/>
      <c r="F168" s="76"/>
      <c r="G168" s="76"/>
      <c r="H168" s="76"/>
      <c r="I168" s="76"/>
      <c r="J168" s="38" t="e">
        <f t="shared" ref="J168:J172" si="229">I168/H168</f>
        <v>#DIV/0!</v>
      </c>
      <c r="K168" s="37"/>
      <c r="L168" s="39" t="e">
        <f t="shared" ref="L168:L172" si="230">K168/H168</f>
        <v>#DIV/0!</v>
      </c>
      <c r="M168" s="39" t="e">
        <f t="shared" si="212"/>
        <v>#DIV/0!</v>
      </c>
      <c r="N168" s="37"/>
      <c r="O168" s="37">
        <f t="shared" si="223"/>
        <v>0</v>
      </c>
      <c r="P168" s="39" t="e">
        <f t="shared" si="197"/>
        <v>#DIV/0!</v>
      </c>
      <c r="Q168" s="76">
        <f t="shared" si="224"/>
        <v>0</v>
      </c>
      <c r="R168" s="76">
        <f t="shared" si="225"/>
        <v>0</v>
      </c>
      <c r="S168" s="373"/>
    </row>
    <row r="169" spans="1:19" s="28" customFormat="1" ht="45.75" customHeight="1" x14ac:dyDescent="0.35">
      <c r="A169" s="167"/>
      <c r="B169" s="75" t="s">
        <v>8</v>
      </c>
      <c r="C169" s="75"/>
      <c r="D169" s="76"/>
      <c r="E169" s="76"/>
      <c r="F169" s="76"/>
      <c r="G169" s="76">
        <v>73741.5</v>
      </c>
      <c r="H169" s="76">
        <v>73741.5</v>
      </c>
      <c r="I169" s="76">
        <v>33400</v>
      </c>
      <c r="J169" s="77">
        <f t="shared" si="229"/>
        <v>0.45</v>
      </c>
      <c r="K169" s="76">
        <v>29731.98</v>
      </c>
      <c r="L169" s="78">
        <f t="shared" si="230"/>
        <v>0.4</v>
      </c>
      <c r="M169" s="78">
        <f t="shared" si="212"/>
        <v>0.89</v>
      </c>
      <c r="N169" s="76">
        <f>H169</f>
        <v>73741.5</v>
      </c>
      <c r="O169" s="76">
        <f t="shared" si="223"/>
        <v>0</v>
      </c>
      <c r="P169" s="78">
        <f t="shared" si="197"/>
        <v>1</v>
      </c>
      <c r="Q169" s="76">
        <f t="shared" si="224"/>
        <v>44009.52</v>
      </c>
      <c r="R169" s="76">
        <f t="shared" si="225"/>
        <v>3668.02</v>
      </c>
      <c r="S169" s="373"/>
    </row>
    <row r="170" spans="1:19" s="28" customFormat="1" ht="45.75" customHeight="1" x14ac:dyDescent="0.35">
      <c r="A170" s="167"/>
      <c r="B170" s="75" t="s">
        <v>19</v>
      </c>
      <c r="C170" s="75"/>
      <c r="D170" s="76"/>
      <c r="E170" s="76"/>
      <c r="F170" s="76"/>
      <c r="G170" s="76"/>
      <c r="H170" s="76"/>
      <c r="I170" s="76"/>
      <c r="J170" s="38" t="e">
        <f t="shared" si="229"/>
        <v>#DIV/0!</v>
      </c>
      <c r="K170" s="37"/>
      <c r="L170" s="39" t="e">
        <f t="shared" si="230"/>
        <v>#DIV/0!</v>
      </c>
      <c r="M170" s="39" t="e">
        <f t="shared" si="212"/>
        <v>#DIV/0!</v>
      </c>
      <c r="N170" s="37"/>
      <c r="O170" s="37">
        <f t="shared" si="223"/>
        <v>0</v>
      </c>
      <c r="P170" s="39" t="e">
        <f t="shared" si="197"/>
        <v>#DIV/0!</v>
      </c>
      <c r="Q170" s="76">
        <f t="shared" si="224"/>
        <v>0</v>
      </c>
      <c r="R170" s="76">
        <f t="shared" si="225"/>
        <v>0</v>
      </c>
      <c r="S170" s="373"/>
    </row>
    <row r="171" spans="1:19" s="28" customFormat="1" ht="45.75" customHeight="1" x14ac:dyDescent="0.35">
      <c r="A171" s="167"/>
      <c r="B171" s="75" t="s">
        <v>22</v>
      </c>
      <c r="C171" s="75"/>
      <c r="D171" s="76"/>
      <c r="E171" s="76"/>
      <c r="F171" s="76"/>
      <c r="G171" s="76"/>
      <c r="H171" s="76"/>
      <c r="I171" s="76"/>
      <c r="J171" s="38" t="e">
        <f t="shared" si="229"/>
        <v>#DIV/0!</v>
      </c>
      <c r="K171" s="37"/>
      <c r="L171" s="39" t="e">
        <f t="shared" si="230"/>
        <v>#DIV/0!</v>
      </c>
      <c r="M171" s="39" t="e">
        <f t="shared" si="212"/>
        <v>#DIV/0!</v>
      </c>
      <c r="N171" s="37"/>
      <c r="O171" s="37">
        <f t="shared" si="223"/>
        <v>0</v>
      </c>
      <c r="P171" s="39" t="e">
        <f t="shared" si="197"/>
        <v>#DIV/0!</v>
      </c>
      <c r="Q171" s="76">
        <f t="shared" si="224"/>
        <v>0</v>
      </c>
      <c r="R171" s="76">
        <f t="shared" si="225"/>
        <v>0</v>
      </c>
      <c r="S171" s="373"/>
    </row>
    <row r="172" spans="1:19" s="28" customFormat="1" ht="45.75" customHeight="1" x14ac:dyDescent="0.35">
      <c r="A172" s="168"/>
      <c r="B172" s="75" t="s">
        <v>11</v>
      </c>
      <c r="C172" s="75"/>
      <c r="D172" s="76"/>
      <c r="E172" s="76"/>
      <c r="F172" s="76"/>
      <c r="G172" s="76"/>
      <c r="H172" s="79"/>
      <c r="I172" s="76"/>
      <c r="J172" s="38" t="e">
        <f t="shared" si="229"/>
        <v>#DIV/0!</v>
      </c>
      <c r="K172" s="37"/>
      <c r="L172" s="39" t="e">
        <f t="shared" si="230"/>
        <v>#DIV/0!</v>
      </c>
      <c r="M172" s="39" t="e">
        <f t="shared" si="212"/>
        <v>#DIV/0!</v>
      </c>
      <c r="N172" s="37"/>
      <c r="O172" s="60">
        <f t="shared" si="223"/>
        <v>0</v>
      </c>
      <c r="P172" s="39" t="e">
        <f t="shared" si="197"/>
        <v>#DIV/0!</v>
      </c>
      <c r="Q172" s="76">
        <f t="shared" si="224"/>
        <v>0</v>
      </c>
      <c r="R172" s="79">
        <f t="shared" si="225"/>
        <v>0</v>
      </c>
      <c r="S172" s="374"/>
    </row>
    <row r="173" spans="1:19" s="28" customFormat="1" ht="177" customHeight="1" x14ac:dyDescent="0.35">
      <c r="A173" s="187" t="s">
        <v>201</v>
      </c>
      <c r="B173" s="196" t="s">
        <v>267</v>
      </c>
      <c r="C173" s="69" t="s">
        <v>17</v>
      </c>
      <c r="D173" s="76">
        <f t="shared" ref="D173:I173" si="231">SUM(D174:D178)</f>
        <v>0</v>
      </c>
      <c r="E173" s="76">
        <f t="shared" si="231"/>
        <v>0</v>
      </c>
      <c r="F173" s="76">
        <f t="shared" si="231"/>
        <v>0</v>
      </c>
      <c r="G173" s="76">
        <f t="shared" si="231"/>
        <v>112886.44</v>
      </c>
      <c r="H173" s="76">
        <f t="shared" si="231"/>
        <v>112886.44</v>
      </c>
      <c r="I173" s="76">
        <f t="shared" si="231"/>
        <v>25423.72</v>
      </c>
      <c r="J173" s="77">
        <f>I173/H173</f>
        <v>0.23</v>
      </c>
      <c r="K173" s="76">
        <f>SUM(K174:K178)</f>
        <v>24229.85</v>
      </c>
      <c r="L173" s="78">
        <f>K173/H173</f>
        <v>0.21</v>
      </c>
      <c r="M173" s="78">
        <f t="shared" si="212"/>
        <v>0.95</v>
      </c>
      <c r="N173" s="76">
        <f>SUM(N174:N178)</f>
        <v>112886.44</v>
      </c>
      <c r="O173" s="76">
        <f>H173-N173</f>
        <v>0</v>
      </c>
      <c r="P173" s="78">
        <f t="shared" ref="P173:P176" si="232">N173/H173</f>
        <v>1</v>
      </c>
      <c r="Q173" s="186"/>
      <c r="R173" s="186"/>
      <c r="S173" s="372" t="s">
        <v>423</v>
      </c>
    </row>
    <row r="174" spans="1:19" s="28" customFormat="1" ht="120" customHeight="1" x14ac:dyDescent="0.35">
      <c r="A174" s="188"/>
      <c r="B174" s="75" t="s">
        <v>10</v>
      </c>
      <c r="C174" s="75"/>
      <c r="D174" s="76"/>
      <c r="E174" s="76"/>
      <c r="F174" s="76"/>
      <c r="G174" s="76"/>
      <c r="H174" s="79"/>
      <c r="I174" s="76"/>
      <c r="J174" s="77"/>
      <c r="K174" s="76"/>
      <c r="L174" s="78"/>
      <c r="M174" s="78"/>
      <c r="N174" s="76"/>
      <c r="O174" s="76"/>
      <c r="P174" s="78"/>
      <c r="Q174" s="84"/>
      <c r="R174" s="84"/>
      <c r="S174" s="374"/>
    </row>
    <row r="175" spans="1:19" s="28" customFormat="1" ht="147" customHeight="1" x14ac:dyDescent="0.35">
      <c r="A175" s="74"/>
      <c r="B175" s="80" t="s">
        <v>8</v>
      </c>
      <c r="C175" s="80"/>
      <c r="D175" s="81"/>
      <c r="E175" s="81"/>
      <c r="F175" s="81"/>
      <c r="G175" s="81">
        <f>89987.34+3565.66</f>
        <v>93553</v>
      </c>
      <c r="H175" s="81">
        <f>89987.34+3565.66</f>
        <v>93553</v>
      </c>
      <c r="I175" s="81">
        <f>21110.63+1387.43</f>
        <v>22498.06</v>
      </c>
      <c r="J175" s="83">
        <f t="shared" ref="J175:J176" si="233">I175/H175</f>
        <v>0.24</v>
      </c>
      <c r="K175" s="81">
        <f>20163.26+1140.93</f>
        <v>21304.19</v>
      </c>
      <c r="L175" s="84">
        <f t="shared" ref="L175:L176" si="234">K175/H175</f>
        <v>0.23</v>
      </c>
      <c r="M175" s="84">
        <f t="shared" si="212"/>
        <v>0.95</v>
      </c>
      <c r="N175" s="81">
        <f>H175</f>
        <v>93553</v>
      </c>
      <c r="O175" s="81">
        <f>H175-N175</f>
        <v>0</v>
      </c>
      <c r="P175" s="84">
        <f t="shared" si="232"/>
        <v>1</v>
      </c>
      <c r="Q175" s="149"/>
      <c r="R175" s="149"/>
      <c r="S175" s="391" t="s">
        <v>485</v>
      </c>
    </row>
    <row r="176" spans="1:19" s="28" customFormat="1" ht="205.5" customHeight="1" x14ac:dyDescent="0.35">
      <c r="A176" s="74"/>
      <c r="B176" s="75" t="s">
        <v>19</v>
      </c>
      <c r="C176" s="75"/>
      <c r="D176" s="76"/>
      <c r="E176" s="76"/>
      <c r="F176" s="76"/>
      <c r="G176" s="76">
        <f>15767.78+3565.66</f>
        <v>19333.439999999999</v>
      </c>
      <c r="H176" s="76">
        <f>15767.78+3565.66</f>
        <v>19333.439999999999</v>
      </c>
      <c r="I176" s="76">
        <f>K176</f>
        <v>2925.66</v>
      </c>
      <c r="J176" s="204">
        <f t="shared" si="233"/>
        <v>0.151</v>
      </c>
      <c r="K176" s="76">
        <f>1784.73+1140.93</f>
        <v>2925.66</v>
      </c>
      <c r="L176" s="78">
        <f t="shared" si="234"/>
        <v>0.15</v>
      </c>
      <c r="M176" s="78">
        <f t="shared" si="212"/>
        <v>1</v>
      </c>
      <c r="N176" s="76">
        <f>H176</f>
        <v>19333.439999999999</v>
      </c>
      <c r="O176" s="76">
        <f t="shared" ref="O176" si="235">H176-N176</f>
        <v>0</v>
      </c>
      <c r="P176" s="78">
        <f t="shared" si="232"/>
        <v>1</v>
      </c>
      <c r="Q176" s="149"/>
      <c r="R176" s="149"/>
      <c r="S176" s="373"/>
    </row>
    <row r="177" spans="1:19" s="28" customFormat="1" ht="62.25" customHeight="1" x14ac:dyDescent="0.35">
      <c r="A177" s="74"/>
      <c r="B177" s="75" t="s">
        <v>22</v>
      </c>
      <c r="C177" s="75"/>
      <c r="D177" s="76"/>
      <c r="E177" s="76"/>
      <c r="F177" s="76"/>
      <c r="G177" s="76"/>
      <c r="H177" s="76"/>
      <c r="I177" s="76"/>
      <c r="J177" s="77"/>
      <c r="K177" s="76"/>
      <c r="L177" s="78"/>
      <c r="M177" s="78"/>
      <c r="N177" s="76"/>
      <c r="O177" s="76"/>
      <c r="P177" s="78"/>
      <c r="Q177" s="149"/>
      <c r="R177" s="149"/>
      <c r="S177" s="373" t="s">
        <v>501</v>
      </c>
    </row>
    <row r="178" spans="1:19" s="28" customFormat="1" ht="62.25" customHeight="1" x14ac:dyDescent="0.35">
      <c r="A178" s="188"/>
      <c r="B178" s="75" t="s">
        <v>11</v>
      </c>
      <c r="C178" s="75"/>
      <c r="D178" s="76"/>
      <c r="E178" s="76"/>
      <c r="F178" s="76"/>
      <c r="G178" s="76"/>
      <c r="H178" s="79"/>
      <c r="I178" s="76"/>
      <c r="J178" s="77"/>
      <c r="K178" s="76"/>
      <c r="L178" s="78"/>
      <c r="M178" s="78"/>
      <c r="N178" s="76"/>
      <c r="O178" s="76"/>
      <c r="P178" s="78"/>
      <c r="Q178" s="84"/>
      <c r="R178" s="84"/>
      <c r="S178" s="392"/>
    </row>
    <row r="179" spans="1:19" s="28" customFormat="1" ht="140.25" customHeight="1" x14ac:dyDescent="0.35">
      <c r="A179" s="187" t="s">
        <v>202</v>
      </c>
      <c r="B179" s="75" t="s">
        <v>184</v>
      </c>
      <c r="C179" s="69" t="s">
        <v>17</v>
      </c>
      <c r="D179" s="76">
        <f t="shared" ref="D179:I179" si="236">SUM(D180:D184)</f>
        <v>0</v>
      </c>
      <c r="E179" s="76">
        <f t="shared" si="236"/>
        <v>0</v>
      </c>
      <c r="F179" s="76">
        <f t="shared" si="236"/>
        <v>0</v>
      </c>
      <c r="G179" s="76">
        <f t="shared" si="236"/>
        <v>13720</v>
      </c>
      <c r="H179" s="76">
        <f t="shared" si="236"/>
        <v>13720</v>
      </c>
      <c r="I179" s="76">
        <f t="shared" si="236"/>
        <v>3959.64</v>
      </c>
      <c r="J179" s="77">
        <f>I179/H179</f>
        <v>0.28999999999999998</v>
      </c>
      <c r="K179" s="76">
        <f>SUM(K180:K184)</f>
        <v>3959.64</v>
      </c>
      <c r="L179" s="78">
        <f>K179/H179</f>
        <v>0.28999999999999998</v>
      </c>
      <c r="M179" s="78">
        <f>K179/I179</f>
        <v>1</v>
      </c>
      <c r="N179" s="76">
        <f>SUM(N180:N184)</f>
        <v>13720</v>
      </c>
      <c r="O179" s="76">
        <f>H179-N179</f>
        <v>0</v>
      </c>
      <c r="P179" s="78">
        <f t="shared" ref="P179:P184" si="237">N179/H179</f>
        <v>1</v>
      </c>
      <c r="Q179" s="186"/>
      <c r="R179" s="186"/>
      <c r="S179" s="372" t="s">
        <v>422</v>
      </c>
    </row>
    <row r="180" spans="1:19" s="28" customFormat="1" x14ac:dyDescent="0.35">
      <c r="A180" s="74"/>
      <c r="B180" s="75" t="s">
        <v>10</v>
      </c>
      <c r="C180" s="75"/>
      <c r="D180" s="76"/>
      <c r="E180" s="76"/>
      <c r="F180" s="76"/>
      <c r="G180" s="76"/>
      <c r="H180" s="79"/>
      <c r="I180" s="76"/>
      <c r="J180" s="38" t="e">
        <f t="shared" ref="J180:J184" si="238">I180/H180</f>
        <v>#DIV/0!</v>
      </c>
      <c r="K180" s="37"/>
      <c r="L180" s="39" t="e">
        <f t="shared" ref="L180:L184" si="239">K180/H180</f>
        <v>#DIV/0!</v>
      </c>
      <c r="M180" s="39" t="e">
        <f t="shared" ref="M180:M184" si="240">K180/I180</f>
        <v>#DIV/0!</v>
      </c>
      <c r="N180" s="37"/>
      <c r="O180" s="37">
        <f>H180-N180</f>
        <v>0</v>
      </c>
      <c r="P180" s="39" t="e">
        <f t="shared" si="237"/>
        <v>#DIV/0!</v>
      </c>
      <c r="Q180" s="149"/>
      <c r="R180" s="149"/>
      <c r="S180" s="373"/>
    </row>
    <row r="181" spans="1:19" s="28" customFormat="1" x14ac:dyDescent="0.35">
      <c r="A181" s="74"/>
      <c r="B181" s="75" t="s">
        <v>502</v>
      </c>
      <c r="C181" s="75"/>
      <c r="D181" s="76"/>
      <c r="E181" s="76"/>
      <c r="F181" s="76"/>
      <c r="G181" s="76">
        <v>13720</v>
      </c>
      <c r="H181" s="76">
        <v>13720</v>
      </c>
      <c r="I181" s="76">
        <v>3959.64</v>
      </c>
      <c r="J181" s="77">
        <f t="shared" si="238"/>
        <v>0.28999999999999998</v>
      </c>
      <c r="K181" s="76">
        <v>3959.64</v>
      </c>
      <c r="L181" s="88">
        <f t="shared" si="239"/>
        <v>0.28860000000000002</v>
      </c>
      <c r="M181" s="78">
        <f>K181/I181</f>
        <v>1</v>
      </c>
      <c r="N181" s="76">
        <f>H181</f>
        <v>13720</v>
      </c>
      <c r="O181" s="76">
        <f t="shared" ref="O181:O184" si="241">H181-N181</f>
        <v>0</v>
      </c>
      <c r="P181" s="78">
        <f t="shared" si="237"/>
        <v>1</v>
      </c>
      <c r="Q181" s="149"/>
      <c r="R181" s="149"/>
      <c r="S181" s="373"/>
    </row>
    <row r="182" spans="1:19" s="28" customFormat="1" x14ac:dyDescent="0.35">
      <c r="A182" s="74"/>
      <c r="B182" s="75" t="s">
        <v>19</v>
      </c>
      <c r="C182" s="75"/>
      <c r="D182" s="76"/>
      <c r="E182" s="76"/>
      <c r="F182" s="76"/>
      <c r="G182" s="76"/>
      <c r="H182" s="76"/>
      <c r="I182" s="76"/>
      <c r="J182" s="38" t="e">
        <f t="shared" si="238"/>
        <v>#DIV/0!</v>
      </c>
      <c r="K182" s="37"/>
      <c r="L182" s="39" t="e">
        <f t="shared" si="239"/>
        <v>#DIV/0!</v>
      </c>
      <c r="M182" s="39" t="e">
        <f t="shared" si="240"/>
        <v>#DIV/0!</v>
      </c>
      <c r="N182" s="37"/>
      <c r="O182" s="37">
        <f t="shared" si="241"/>
        <v>0</v>
      </c>
      <c r="P182" s="39" t="e">
        <f t="shared" si="237"/>
        <v>#DIV/0!</v>
      </c>
      <c r="Q182" s="149"/>
      <c r="R182" s="149"/>
      <c r="S182" s="373"/>
    </row>
    <row r="183" spans="1:19" s="28" customFormat="1" x14ac:dyDescent="0.35">
      <c r="A183" s="74"/>
      <c r="B183" s="75" t="s">
        <v>22</v>
      </c>
      <c r="C183" s="75"/>
      <c r="D183" s="76"/>
      <c r="E183" s="76"/>
      <c r="F183" s="76"/>
      <c r="G183" s="76"/>
      <c r="H183" s="76"/>
      <c r="I183" s="76"/>
      <c r="J183" s="38" t="e">
        <f t="shared" si="238"/>
        <v>#DIV/0!</v>
      </c>
      <c r="K183" s="37"/>
      <c r="L183" s="39" t="e">
        <f t="shared" si="239"/>
        <v>#DIV/0!</v>
      </c>
      <c r="M183" s="39" t="e">
        <f t="shared" si="240"/>
        <v>#DIV/0!</v>
      </c>
      <c r="N183" s="37"/>
      <c r="O183" s="37">
        <f t="shared" si="241"/>
        <v>0</v>
      </c>
      <c r="P183" s="39" t="e">
        <f t="shared" si="237"/>
        <v>#DIV/0!</v>
      </c>
      <c r="Q183" s="149"/>
      <c r="R183" s="149"/>
      <c r="S183" s="373"/>
    </row>
    <row r="184" spans="1:19" s="28" customFormat="1" x14ac:dyDescent="0.35">
      <c r="A184" s="188"/>
      <c r="B184" s="75" t="s">
        <v>11</v>
      </c>
      <c r="C184" s="75"/>
      <c r="D184" s="76"/>
      <c r="E184" s="76"/>
      <c r="F184" s="76"/>
      <c r="G184" s="76"/>
      <c r="H184" s="79"/>
      <c r="I184" s="76"/>
      <c r="J184" s="38" t="e">
        <f t="shared" si="238"/>
        <v>#DIV/0!</v>
      </c>
      <c r="K184" s="37"/>
      <c r="L184" s="39" t="e">
        <f t="shared" si="239"/>
        <v>#DIV/0!</v>
      </c>
      <c r="M184" s="39" t="e">
        <f t="shared" si="240"/>
        <v>#DIV/0!</v>
      </c>
      <c r="N184" s="37"/>
      <c r="O184" s="37">
        <f t="shared" si="241"/>
        <v>0</v>
      </c>
      <c r="P184" s="39" t="e">
        <f t="shared" si="237"/>
        <v>#DIV/0!</v>
      </c>
      <c r="Q184" s="84"/>
      <c r="R184" s="84"/>
      <c r="S184" s="374"/>
    </row>
    <row r="185" spans="1:19" s="28" customFormat="1" ht="78" customHeight="1" x14ac:dyDescent="0.35">
      <c r="A185" s="187" t="s">
        <v>216</v>
      </c>
      <c r="B185" s="75" t="s">
        <v>230</v>
      </c>
      <c r="C185" s="69" t="s">
        <v>17</v>
      </c>
      <c r="D185" s="76">
        <f t="shared" ref="D185:I185" si="242">SUM(D186:D190)</f>
        <v>0</v>
      </c>
      <c r="E185" s="76">
        <f t="shared" si="242"/>
        <v>0</v>
      </c>
      <c r="F185" s="76">
        <f t="shared" si="242"/>
        <v>0</v>
      </c>
      <c r="G185" s="76">
        <f t="shared" si="242"/>
        <v>19902.599999999999</v>
      </c>
      <c r="H185" s="76">
        <f t="shared" si="242"/>
        <v>19902.599999999999</v>
      </c>
      <c r="I185" s="76">
        <f t="shared" si="242"/>
        <v>6089</v>
      </c>
      <c r="J185" s="77">
        <f>I185/H185</f>
        <v>0.31</v>
      </c>
      <c r="K185" s="76">
        <f>SUM(K186:K190)</f>
        <v>5438.01</v>
      </c>
      <c r="L185" s="78">
        <f>K185/H185</f>
        <v>0.27</v>
      </c>
      <c r="M185" s="78">
        <f>K185/I185</f>
        <v>0.89</v>
      </c>
      <c r="N185" s="76">
        <f>SUM(N186:N190)</f>
        <v>19902.599999999999</v>
      </c>
      <c r="O185" s="76">
        <f>H185-N185</f>
        <v>0</v>
      </c>
      <c r="P185" s="78">
        <f t="shared" ref="P185:P190" si="243">N185/H185</f>
        <v>1</v>
      </c>
      <c r="Q185" s="186"/>
      <c r="R185" s="186"/>
      <c r="S185" s="372" t="s">
        <v>429</v>
      </c>
    </row>
    <row r="186" spans="1:19" s="28" customFormat="1" ht="27" customHeight="1" x14ac:dyDescent="0.35">
      <c r="A186" s="74"/>
      <c r="B186" s="75" t="s">
        <v>10</v>
      </c>
      <c r="C186" s="75"/>
      <c r="D186" s="76"/>
      <c r="E186" s="76"/>
      <c r="F186" s="76"/>
      <c r="G186" s="76"/>
      <c r="H186" s="79"/>
      <c r="I186" s="76"/>
      <c r="J186" s="38" t="e">
        <f t="shared" ref="J186:J190" si="244">I186/H186</f>
        <v>#DIV/0!</v>
      </c>
      <c r="K186" s="37"/>
      <c r="L186" s="39" t="e">
        <f t="shared" ref="L186:L190" si="245">K186/H186</f>
        <v>#DIV/0!</v>
      </c>
      <c r="M186" s="39" t="e">
        <f t="shared" ref="M186:M190" si="246">K186/I186</f>
        <v>#DIV/0!</v>
      </c>
      <c r="N186" s="37"/>
      <c r="O186" s="37">
        <f>H186-N186</f>
        <v>0</v>
      </c>
      <c r="P186" s="39" t="e">
        <f t="shared" si="243"/>
        <v>#DIV/0!</v>
      </c>
      <c r="Q186" s="149"/>
      <c r="R186" s="149"/>
      <c r="S186" s="373"/>
    </row>
    <row r="187" spans="1:19" s="28" customFormat="1" ht="27" customHeight="1" x14ac:dyDescent="0.35">
      <c r="A187" s="74"/>
      <c r="B187" s="75" t="s">
        <v>8</v>
      </c>
      <c r="C187" s="75"/>
      <c r="D187" s="76"/>
      <c r="E187" s="76"/>
      <c r="F187" s="76"/>
      <c r="G187" s="76">
        <v>19902.599999999999</v>
      </c>
      <c r="H187" s="76">
        <v>19902.599999999999</v>
      </c>
      <c r="I187" s="76">
        <v>6089</v>
      </c>
      <c r="J187" s="77">
        <f t="shared" si="244"/>
        <v>0.31</v>
      </c>
      <c r="K187" s="76">
        <v>5438.01</v>
      </c>
      <c r="L187" s="88">
        <f t="shared" si="245"/>
        <v>0.2732</v>
      </c>
      <c r="M187" s="78">
        <f t="shared" si="246"/>
        <v>0.89</v>
      </c>
      <c r="N187" s="76">
        <f>H187</f>
        <v>19902.599999999999</v>
      </c>
      <c r="O187" s="76">
        <f t="shared" ref="O187:O190" si="247">H187-N187</f>
        <v>0</v>
      </c>
      <c r="P187" s="78">
        <f t="shared" si="243"/>
        <v>1</v>
      </c>
      <c r="Q187" s="149"/>
      <c r="R187" s="149"/>
      <c r="S187" s="373"/>
    </row>
    <row r="188" spans="1:19" s="28" customFormat="1" ht="27" customHeight="1" x14ac:dyDescent="0.35">
      <c r="A188" s="74"/>
      <c r="B188" s="75" t="s">
        <v>19</v>
      </c>
      <c r="C188" s="75"/>
      <c r="D188" s="76"/>
      <c r="E188" s="76"/>
      <c r="F188" s="76"/>
      <c r="G188" s="76"/>
      <c r="H188" s="76"/>
      <c r="I188" s="76"/>
      <c r="J188" s="38" t="e">
        <f t="shared" si="244"/>
        <v>#DIV/0!</v>
      </c>
      <c r="K188" s="37"/>
      <c r="L188" s="39" t="e">
        <f t="shared" si="245"/>
        <v>#DIV/0!</v>
      </c>
      <c r="M188" s="39" t="e">
        <f t="shared" si="246"/>
        <v>#DIV/0!</v>
      </c>
      <c r="N188" s="37"/>
      <c r="O188" s="37">
        <f t="shared" si="247"/>
        <v>0</v>
      </c>
      <c r="P188" s="39" t="e">
        <f t="shared" si="243"/>
        <v>#DIV/0!</v>
      </c>
      <c r="Q188" s="149"/>
      <c r="R188" s="149"/>
      <c r="S188" s="373"/>
    </row>
    <row r="189" spans="1:19" s="28" customFormat="1" ht="27" customHeight="1" x14ac:dyDescent="0.35">
      <c r="A189" s="74"/>
      <c r="B189" s="75" t="s">
        <v>22</v>
      </c>
      <c r="C189" s="75"/>
      <c r="D189" s="76"/>
      <c r="E189" s="76"/>
      <c r="F189" s="76"/>
      <c r="G189" s="76"/>
      <c r="H189" s="76"/>
      <c r="I189" s="76"/>
      <c r="J189" s="38" t="e">
        <f t="shared" si="244"/>
        <v>#DIV/0!</v>
      </c>
      <c r="K189" s="37"/>
      <c r="L189" s="39" t="e">
        <f t="shared" si="245"/>
        <v>#DIV/0!</v>
      </c>
      <c r="M189" s="39" t="e">
        <f t="shared" si="246"/>
        <v>#DIV/0!</v>
      </c>
      <c r="N189" s="37"/>
      <c r="O189" s="37">
        <f t="shared" si="247"/>
        <v>0</v>
      </c>
      <c r="P189" s="39" t="e">
        <f t="shared" si="243"/>
        <v>#DIV/0!</v>
      </c>
      <c r="Q189" s="149"/>
      <c r="R189" s="149"/>
      <c r="S189" s="373"/>
    </row>
    <row r="190" spans="1:19" s="28" customFormat="1" ht="27" customHeight="1" x14ac:dyDescent="0.35">
      <c r="A190" s="188"/>
      <c r="B190" s="75" t="s">
        <v>11</v>
      </c>
      <c r="C190" s="75"/>
      <c r="D190" s="76"/>
      <c r="E190" s="76"/>
      <c r="F190" s="76"/>
      <c r="G190" s="76"/>
      <c r="H190" s="79"/>
      <c r="I190" s="76"/>
      <c r="J190" s="38" t="e">
        <f t="shared" si="244"/>
        <v>#DIV/0!</v>
      </c>
      <c r="K190" s="37"/>
      <c r="L190" s="39" t="e">
        <f t="shared" si="245"/>
        <v>#DIV/0!</v>
      </c>
      <c r="M190" s="39" t="e">
        <f t="shared" si="246"/>
        <v>#DIV/0!</v>
      </c>
      <c r="N190" s="37"/>
      <c r="O190" s="37">
        <f t="shared" si="247"/>
        <v>0</v>
      </c>
      <c r="P190" s="39" t="e">
        <f t="shared" si="243"/>
        <v>#DIV/0!</v>
      </c>
      <c r="Q190" s="84"/>
      <c r="R190" s="84"/>
      <c r="S190" s="374"/>
    </row>
    <row r="191" spans="1:19" s="193" customFormat="1" ht="46.5" x14ac:dyDescent="0.35">
      <c r="A191" s="152" t="s">
        <v>117</v>
      </c>
      <c r="B191" s="154" t="s">
        <v>74</v>
      </c>
      <c r="C191" s="154" t="s">
        <v>2</v>
      </c>
      <c r="D191" s="155" t="e">
        <f t="shared" ref="D191:F191" si="248">SUM(D192:D196)</f>
        <v>#REF!</v>
      </c>
      <c r="E191" s="155" t="e">
        <f t="shared" si="248"/>
        <v>#REF!</v>
      </c>
      <c r="F191" s="155" t="e">
        <f t="shared" si="248"/>
        <v>#REF!</v>
      </c>
      <c r="G191" s="155">
        <f>SUM(G192:G196)</f>
        <v>42481.1</v>
      </c>
      <c r="H191" s="155">
        <f t="shared" ref="H191:I191" si="249">SUM(H192:H196)</f>
        <v>49428.2</v>
      </c>
      <c r="I191" s="155">
        <f t="shared" si="249"/>
        <v>29524.87</v>
      </c>
      <c r="J191" s="202">
        <f>I191/H191</f>
        <v>0.59699999999999998</v>
      </c>
      <c r="K191" s="155">
        <f>SUM(K192:K196)</f>
        <v>0</v>
      </c>
      <c r="L191" s="203">
        <f t="shared" ref="L191:L196" si="250">K191/H191</f>
        <v>0</v>
      </c>
      <c r="M191" s="203">
        <f>K191/I191</f>
        <v>0</v>
      </c>
      <c r="N191" s="155">
        <f t="shared" ref="N191:O191" si="251">SUM(N192:N196)</f>
        <v>42481.1</v>
      </c>
      <c r="O191" s="155">
        <f t="shared" si="251"/>
        <v>6947.1</v>
      </c>
      <c r="P191" s="182">
        <f t="shared" ref="P191:P207" si="252">N191/H191</f>
        <v>0.86</v>
      </c>
      <c r="Q191" s="173"/>
      <c r="R191" s="173"/>
      <c r="S191" s="192"/>
    </row>
    <row r="192" spans="1:19" s="28" customFormat="1" ht="27" customHeight="1" x14ac:dyDescent="0.35">
      <c r="A192" s="159"/>
      <c r="B192" s="75" t="s">
        <v>10</v>
      </c>
      <c r="C192" s="75"/>
      <c r="D192" s="76">
        <f t="shared" ref="D192:F194" si="253">D671</f>
        <v>0</v>
      </c>
      <c r="E192" s="76">
        <f t="shared" si="253"/>
        <v>0</v>
      </c>
      <c r="F192" s="76">
        <f t="shared" si="253"/>
        <v>0</v>
      </c>
      <c r="G192" s="76">
        <f>G198+G204</f>
        <v>0</v>
      </c>
      <c r="H192" s="76">
        <f t="shared" ref="H192:I192" si="254">H198+H204</f>
        <v>0</v>
      </c>
      <c r="I192" s="76">
        <f t="shared" si="254"/>
        <v>0</v>
      </c>
      <c r="J192" s="47" t="e">
        <f>I192/H192</f>
        <v>#DIV/0!</v>
      </c>
      <c r="K192" s="37">
        <f>K198+K204</f>
        <v>0</v>
      </c>
      <c r="L192" s="48" t="e">
        <f t="shared" si="250"/>
        <v>#DIV/0!</v>
      </c>
      <c r="M192" s="39" t="e">
        <f t="shared" ref="M192:M196" si="255">K192/I192</f>
        <v>#DIV/0!</v>
      </c>
      <c r="N192" s="37">
        <f t="shared" ref="N192:O192" si="256">N198+N204</f>
        <v>0</v>
      </c>
      <c r="O192" s="37">
        <f t="shared" si="256"/>
        <v>0</v>
      </c>
      <c r="P192" s="39" t="e">
        <f t="shared" si="252"/>
        <v>#DIV/0!</v>
      </c>
      <c r="Q192" s="149"/>
      <c r="R192" s="149"/>
      <c r="S192" s="194"/>
    </row>
    <row r="193" spans="1:19" s="28" customFormat="1" ht="27" customHeight="1" x14ac:dyDescent="0.35">
      <c r="A193" s="159"/>
      <c r="B193" s="75" t="s">
        <v>8</v>
      </c>
      <c r="C193" s="75"/>
      <c r="D193" s="76">
        <f t="shared" si="253"/>
        <v>0</v>
      </c>
      <c r="E193" s="76">
        <f t="shared" si="253"/>
        <v>0</v>
      </c>
      <c r="F193" s="76">
        <f t="shared" si="253"/>
        <v>0</v>
      </c>
      <c r="G193" s="76">
        <f>G199+G205</f>
        <v>42481.1</v>
      </c>
      <c r="H193" s="76">
        <f t="shared" ref="G193:I196" si="257">H199+H205</f>
        <v>49428.2</v>
      </c>
      <c r="I193" s="76">
        <f t="shared" si="257"/>
        <v>29524.87</v>
      </c>
      <c r="J193" s="204">
        <f t="shared" ref="J193:J196" si="258">I193/H193</f>
        <v>0.59699999999999998</v>
      </c>
      <c r="K193" s="76">
        <f t="shared" ref="K193" si="259">K199+K205</f>
        <v>0</v>
      </c>
      <c r="L193" s="88">
        <f t="shared" si="250"/>
        <v>0</v>
      </c>
      <c r="M193" s="88">
        <f t="shared" si="255"/>
        <v>0</v>
      </c>
      <c r="N193" s="76">
        <f t="shared" ref="N193:O193" si="260">N199+N205</f>
        <v>42481.1</v>
      </c>
      <c r="O193" s="76">
        <f t="shared" si="260"/>
        <v>6947.1</v>
      </c>
      <c r="P193" s="78">
        <f t="shared" si="252"/>
        <v>0.86</v>
      </c>
      <c r="Q193" s="149"/>
      <c r="R193" s="149"/>
      <c r="S193" s="194"/>
    </row>
    <row r="194" spans="1:19" s="28" customFormat="1" ht="27" customHeight="1" x14ac:dyDescent="0.35">
      <c r="A194" s="159"/>
      <c r="B194" s="75" t="s">
        <v>19</v>
      </c>
      <c r="C194" s="75"/>
      <c r="D194" s="76">
        <f t="shared" si="253"/>
        <v>0</v>
      </c>
      <c r="E194" s="76">
        <f t="shared" si="253"/>
        <v>0</v>
      </c>
      <c r="F194" s="76">
        <f t="shared" si="253"/>
        <v>0</v>
      </c>
      <c r="G194" s="76">
        <f t="shared" si="257"/>
        <v>0</v>
      </c>
      <c r="H194" s="76">
        <f t="shared" si="257"/>
        <v>0</v>
      </c>
      <c r="I194" s="76">
        <f t="shared" si="257"/>
        <v>0</v>
      </c>
      <c r="J194" s="47" t="e">
        <f t="shared" si="258"/>
        <v>#DIV/0!</v>
      </c>
      <c r="K194" s="37">
        <f t="shared" ref="K194" si="261">K200+K206</f>
        <v>0</v>
      </c>
      <c r="L194" s="39" t="e">
        <f t="shared" si="250"/>
        <v>#DIV/0!</v>
      </c>
      <c r="M194" s="39" t="e">
        <f t="shared" si="255"/>
        <v>#DIV/0!</v>
      </c>
      <c r="N194" s="37">
        <f t="shared" ref="N194:O194" si="262">N200+N206</f>
        <v>0</v>
      </c>
      <c r="O194" s="37">
        <f t="shared" si="262"/>
        <v>0</v>
      </c>
      <c r="P194" s="39" t="e">
        <f t="shared" si="252"/>
        <v>#DIV/0!</v>
      </c>
      <c r="Q194" s="149"/>
      <c r="R194" s="149"/>
      <c r="S194" s="194"/>
    </row>
    <row r="195" spans="1:19" s="28" customFormat="1" ht="27" customHeight="1" x14ac:dyDescent="0.35">
      <c r="A195" s="159"/>
      <c r="B195" s="75" t="s">
        <v>22</v>
      </c>
      <c r="C195" s="75"/>
      <c r="D195" s="76" t="e">
        <f>#REF!</f>
        <v>#REF!</v>
      </c>
      <c r="E195" s="76" t="e">
        <f>#REF!</f>
        <v>#REF!</v>
      </c>
      <c r="F195" s="76" t="e">
        <f>#REF!</f>
        <v>#REF!</v>
      </c>
      <c r="G195" s="76">
        <f t="shared" si="257"/>
        <v>0</v>
      </c>
      <c r="H195" s="76">
        <f t="shared" si="257"/>
        <v>0</v>
      </c>
      <c r="I195" s="76">
        <f t="shared" si="257"/>
        <v>0</v>
      </c>
      <c r="J195" s="47" t="e">
        <f t="shared" si="258"/>
        <v>#DIV/0!</v>
      </c>
      <c r="K195" s="37">
        <f t="shared" ref="K195" si="263">K201+K207</f>
        <v>0</v>
      </c>
      <c r="L195" s="39" t="e">
        <f t="shared" si="250"/>
        <v>#DIV/0!</v>
      </c>
      <c r="M195" s="39" t="e">
        <f t="shared" si="255"/>
        <v>#DIV/0!</v>
      </c>
      <c r="N195" s="37">
        <f t="shared" ref="N195:O195" si="264">N201+N207</f>
        <v>0</v>
      </c>
      <c r="O195" s="37">
        <f t="shared" si="264"/>
        <v>0</v>
      </c>
      <c r="P195" s="39" t="e">
        <f t="shared" si="252"/>
        <v>#DIV/0!</v>
      </c>
      <c r="Q195" s="149"/>
      <c r="R195" s="149"/>
      <c r="S195" s="194"/>
    </row>
    <row r="196" spans="1:19" s="28" customFormat="1" ht="27" customHeight="1" x14ac:dyDescent="0.35">
      <c r="A196" s="162"/>
      <c r="B196" s="75" t="s">
        <v>11</v>
      </c>
      <c r="C196" s="75"/>
      <c r="D196" s="76">
        <f>D674</f>
        <v>0</v>
      </c>
      <c r="E196" s="76">
        <f>E674</f>
        <v>0</v>
      </c>
      <c r="F196" s="76">
        <f>F674</f>
        <v>0</v>
      </c>
      <c r="G196" s="76">
        <f t="shared" si="257"/>
        <v>0</v>
      </c>
      <c r="H196" s="76">
        <f t="shared" si="257"/>
        <v>0</v>
      </c>
      <c r="I196" s="76">
        <f t="shared" si="257"/>
        <v>0</v>
      </c>
      <c r="J196" s="47" t="e">
        <f t="shared" si="258"/>
        <v>#DIV/0!</v>
      </c>
      <c r="K196" s="37">
        <f t="shared" ref="K196" si="265">K202+K208</f>
        <v>0</v>
      </c>
      <c r="L196" s="39" t="e">
        <f t="shared" si="250"/>
        <v>#DIV/0!</v>
      </c>
      <c r="M196" s="39" t="e">
        <f t="shared" si="255"/>
        <v>#DIV/0!</v>
      </c>
      <c r="N196" s="37">
        <f t="shared" ref="N196:O196" si="266">N202+N208</f>
        <v>0</v>
      </c>
      <c r="O196" s="37">
        <f t="shared" si="266"/>
        <v>0</v>
      </c>
      <c r="P196" s="39" t="e">
        <f t="shared" si="252"/>
        <v>#DIV/0!</v>
      </c>
      <c r="Q196" s="84"/>
      <c r="R196" s="84"/>
      <c r="S196" s="195"/>
    </row>
    <row r="197" spans="1:19" s="183" customFormat="1" ht="118.5" customHeight="1" x14ac:dyDescent="0.35">
      <c r="A197" s="67" t="s">
        <v>118</v>
      </c>
      <c r="B197" s="69" t="s">
        <v>227</v>
      </c>
      <c r="C197" s="69" t="s">
        <v>17</v>
      </c>
      <c r="D197" s="70" t="e">
        <f>SUM(D198:D209)</f>
        <v>#REF!</v>
      </c>
      <c r="E197" s="70" t="e">
        <f t="shared" ref="E197:F197" si="267">SUM(E198:E209)</f>
        <v>#REF!</v>
      </c>
      <c r="F197" s="70" t="e">
        <f t="shared" si="267"/>
        <v>#REF!</v>
      </c>
      <c r="G197" s="70">
        <f>SUM(G198:G202)</f>
        <v>798.9</v>
      </c>
      <c r="H197" s="70">
        <f t="shared" ref="H197:K197" si="268">SUM(H198:H202)</f>
        <v>798.9</v>
      </c>
      <c r="I197" s="70">
        <f t="shared" si="268"/>
        <v>0</v>
      </c>
      <c r="J197" s="72">
        <f>I197/H197</f>
        <v>0</v>
      </c>
      <c r="K197" s="70">
        <f t="shared" si="268"/>
        <v>0</v>
      </c>
      <c r="L197" s="56">
        <f>K197/H197</f>
        <v>0</v>
      </c>
      <c r="M197" s="56" t="e">
        <f>K197/I197</f>
        <v>#DIV/0!</v>
      </c>
      <c r="N197" s="70">
        <f t="shared" ref="N197" si="269">SUM(N198:N202)</f>
        <v>798.9</v>
      </c>
      <c r="O197" s="70">
        <f t="shared" ref="O197:O202" si="270">H197-N197</f>
        <v>0</v>
      </c>
      <c r="P197" s="73">
        <f t="shared" si="252"/>
        <v>1</v>
      </c>
      <c r="Q197" s="70">
        <f t="shared" ref="Q197:Q202" si="271">H197-K197</f>
        <v>798.9</v>
      </c>
      <c r="R197" s="70">
        <f t="shared" ref="R197:R202" si="272">I197-K197</f>
        <v>0</v>
      </c>
      <c r="S197" s="372" t="s">
        <v>228</v>
      </c>
    </row>
    <row r="198" spans="1:19" s="28" customFormat="1" ht="30.75" customHeight="1" x14ac:dyDescent="0.35">
      <c r="A198" s="205"/>
      <c r="B198" s="75" t="s">
        <v>10</v>
      </c>
      <c r="C198" s="75"/>
      <c r="D198" s="76"/>
      <c r="E198" s="76"/>
      <c r="F198" s="76"/>
      <c r="G198" s="76"/>
      <c r="H198" s="76"/>
      <c r="I198" s="76"/>
      <c r="J198" s="38" t="e">
        <f t="shared" ref="J198:J202" si="273">I198/H198</f>
        <v>#DIV/0!</v>
      </c>
      <c r="K198" s="76"/>
      <c r="L198" s="39" t="e">
        <f t="shared" ref="L198:L202" si="274">K198/H198</f>
        <v>#DIV/0!</v>
      </c>
      <c r="M198" s="39" t="e">
        <f t="shared" ref="M198:M202" si="275">K198/I198</f>
        <v>#DIV/0!</v>
      </c>
      <c r="N198" s="76"/>
      <c r="O198" s="76">
        <f t="shared" si="270"/>
        <v>0</v>
      </c>
      <c r="P198" s="39" t="e">
        <f t="shared" si="252"/>
        <v>#DIV/0!</v>
      </c>
      <c r="Q198" s="76">
        <f t="shared" si="271"/>
        <v>0</v>
      </c>
      <c r="R198" s="76">
        <f t="shared" si="272"/>
        <v>0</v>
      </c>
      <c r="S198" s="373"/>
    </row>
    <row r="199" spans="1:19" s="28" customFormat="1" ht="30.75" customHeight="1" x14ac:dyDescent="0.35">
      <c r="A199" s="205"/>
      <c r="B199" s="75" t="s">
        <v>8</v>
      </c>
      <c r="C199" s="75"/>
      <c r="D199" s="76"/>
      <c r="E199" s="76"/>
      <c r="F199" s="76"/>
      <c r="G199" s="76">
        <v>798.9</v>
      </c>
      <c r="H199" s="76">
        <v>798.9</v>
      </c>
      <c r="I199" s="76"/>
      <c r="J199" s="38">
        <f>I199/H199</f>
        <v>0</v>
      </c>
      <c r="K199" s="76"/>
      <c r="L199" s="39">
        <f t="shared" si="274"/>
        <v>0</v>
      </c>
      <c r="M199" s="39" t="e">
        <f t="shared" si="275"/>
        <v>#DIV/0!</v>
      </c>
      <c r="N199" s="76">
        <f>H199</f>
        <v>798.9</v>
      </c>
      <c r="O199" s="76">
        <f t="shared" si="270"/>
        <v>0</v>
      </c>
      <c r="P199" s="78">
        <f t="shared" si="252"/>
        <v>1</v>
      </c>
      <c r="Q199" s="76">
        <f t="shared" si="271"/>
        <v>798.9</v>
      </c>
      <c r="R199" s="76">
        <f t="shared" si="272"/>
        <v>0</v>
      </c>
      <c r="S199" s="373"/>
    </row>
    <row r="200" spans="1:19" s="28" customFormat="1" ht="30.75" customHeight="1" x14ac:dyDescent="0.35">
      <c r="A200" s="205"/>
      <c r="B200" s="75" t="s">
        <v>19</v>
      </c>
      <c r="C200" s="75"/>
      <c r="D200" s="76"/>
      <c r="E200" s="76"/>
      <c r="F200" s="76"/>
      <c r="G200" s="76"/>
      <c r="H200" s="76"/>
      <c r="I200" s="76"/>
      <c r="J200" s="38" t="e">
        <f t="shared" si="273"/>
        <v>#DIV/0!</v>
      </c>
      <c r="K200" s="76"/>
      <c r="L200" s="39" t="e">
        <f t="shared" si="274"/>
        <v>#DIV/0!</v>
      </c>
      <c r="M200" s="39" t="e">
        <f t="shared" si="275"/>
        <v>#DIV/0!</v>
      </c>
      <c r="N200" s="76"/>
      <c r="O200" s="76">
        <f t="shared" si="270"/>
        <v>0</v>
      </c>
      <c r="P200" s="39" t="e">
        <f t="shared" si="252"/>
        <v>#DIV/0!</v>
      </c>
      <c r="Q200" s="76">
        <f t="shared" si="271"/>
        <v>0</v>
      </c>
      <c r="R200" s="76">
        <f t="shared" si="272"/>
        <v>0</v>
      </c>
      <c r="S200" s="373"/>
    </row>
    <row r="201" spans="1:19" s="28" customFormat="1" ht="30.75" customHeight="1" x14ac:dyDescent="0.35">
      <c r="A201" s="205"/>
      <c r="B201" s="75" t="s">
        <v>22</v>
      </c>
      <c r="C201" s="75"/>
      <c r="D201" s="76"/>
      <c r="E201" s="76"/>
      <c r="F201" s="76"/>
      <c r="G201" s="76"/>
      <c r="H201" s="76"/>
      <c r="I201" s="76"/>
      <c r="J201" s="38" t="e">
        <f t="shared" si="273"/>
        <v>#DIV/0!</v>
      </c>
      <c r="K201" s="76"/>
      <c r="L201" s="39" t="e">
        <f t="shared" si="274"/>
        <v>#DIV/0!</v>
      </c>
      <c r="M201" s="39" t="e">
        <f t="shared" si="275"/>
        <v>#DIV/0!</v>
      </c>
      <c r="N201" s="76"/>
      <c r="O201" s="76">
        <f t="shared" si="270"/>
        <v>0</v>
      </c>
      <c r="P201" s="39" t="e">
        <f t="shared" si="252"/>
        <v>#DIV/0!</v>
      </c>
      <c r="Q201" s="76">
        <f t="shared" si="271"/>
        <v>0</v>
      </c>
      <c r="R201" s="76">
        <f t="shared" si="272"/>
        <v>0</v>
      </c>
      <c r="S201" s="373"/>
    </row>
    <row r="202" spans="1:19" s="28" customFormat="1" ht="30.75" customHeight="1" x14ac:dyDescent="0.35">
      <c r="A202" s="206"/>
      <c r="B202" s="75" t="s">
        <v>11</v>
      </c>
      <c r="C202" s="75"/>
      <c r="D202" s="76"/>
      <c r="E202" s="76"/>
      <c r="F202" s="76"/>
      <c r="G202" s="76"/>
      <c r="H202" s="79"/>
      <c r="I202" s="76"/>
      <c r="J202" s="38" t="e">
        <f t="shared" si="273"/>
        <v>#DIV/0!</v>
      </c>
      <c r="K202" s="76"/>
      <c r="L202" s="39" t="e">
        <f t="shared" si="274"/>
        <v>#DIV/0!</v>
      </c>
      <c r="M202" s="39" t="e">
        <f t="shared" si="275"/>
        <v>#DIV/0!</v>
      </c>
      <c r="N202" s="76"/>
      <c r="O202" s="79">
        <f t="shared" si="270"/>
        <v>0</v>
      </c>
      <c r="P202" s="39" t="e">
        <f t="shared" si="252"/>
        <v>#DIV/0!</v>
      </c>
      <c r="Q202" s="76">
        <f t="shared" si="271"/>
        <v>0</v>
      </c>
      <c r="R202" s="79">
        <f t="shared" si="272"/>
        <v>0</v>
      </c>
      <c r="S202" s="374"/>
    </row>
    <row r="203" spans="1:19" s="28" customFormat="1" ht="93" x14ac:dyDescent="0.35">
      <c r="A203" s="67" t="s">
        <v>119</v>
      </c>
      <c r="B203" s="69" t="s">
        <v>253</v>
      </c>
      <c r="C203" s="69" t="s">
        <v>17</v>
      </c>
      <c r="D203" s="70" t="e">
        <f>SUM(D204:D254)</f>
        <v>#REF!</v>
      </c>
      <c r="E203" s="70" t="e">
        <f>SUM(E204:E254)</f>
        <v>#REF!</v>
      </c>
      <c r="F203" s="70" t="e">
        <f>SUM(F204:F254)</f>
        <v>#REF!</v>
      </c>
      <c r="G203" s="70">
        <f>SUM(G204:G208)</f>
        <v>41682.199999999997</v>
      </c>
      <c r="H203" s="70">
        <f t="shared" ref="H203:K203" si="276">SUM(H204:H208)</f>
        <v>48629.3</v>
      </c>
      <c r="I203" s="70">
        <f t="shared" si="276"/>
        <v>29524.87</v>
      </c>
      <c r="J203" s="72">
        <f>I203/H203</f>
        <v>0.61</v>
      </c>
      <c r="K203" s="70">
        <f t="shared" si="276"/>
        <v>0</v>
      </c>
      <c r="L203" s="56">
        <f>K203/H203</f>
        <v>0</v>
      </c>
      <c r="M203" s="56">
        <f>K203/I203</f>
        <v>0</v>
      </c>
      <c r="N203" s="70">
        <f t="shared" ref="N203:O203" si="277">SUM(N204:N208)</f>
        <v>41682.199999999997</v>
      </c>
      <c r="O203" s="70">
        <f t="shared" si="277"/>
        <v>6947.1</v>
      </c>
      <c r="P203" s="73">
        <f t="shared" si="252"/>
        <v>0.86</v>
      </c>
      <c r="Q203" s="165"/>
      <c r="R203" s="165"/>
      <c r="S203" s="378" t="s">
        <v>419</v>
      </c>
    </row>
    <row r="204" spans="1:19" s="28" customFormat="1" ht="30.75" customHeight="1" x14ac:dyDescent="0.35">
      <c r="A204" s="205"/>
      <c r="B204" s="75" t="s">
        <v>10</v>
      </c>
      <c r="C204" s="75"/>
      <c r="D204" s="76"/>
      <c r="E204" s="76"/>
      <c r="F204" s="76"/>
      <c r="G204" s="76"/>
      <c r="H204" s="76"/>
      <c r="I204" s="76"/>
      <c r="J204" s="38" t="e">
        <f t="shared" ref="J204:J208" si="278">I204/H204</f>
        <v>#DIV/0!</v>
      </c>
      <c r="K204" s="37"/>
      <c r="L204" s="39" t="e">
        <f t="shared" ref="L204:L208" si="279">K204/H204</f>
        <v>#DIV/0!</v>
      </c>
      <c r="M204" s="39" t="e">
        <f t="shared" ref="M204:M208" si="280">K204/I204</f>
        <v>#DIV/0!</v>
      </c>
      <c r="N204" s="37"/>
      <c r="O204" s="37">
        <f t="shared" ref="O204:O208" si="281">H204-N204</f>
        <v>0</v>
      </c>
      <c r="P204" s="44" t="e">
        <f t="shared" si="252"/>
        <v>#DIV/0!</v>
      </c>
      <c r="Q204" s="84"/>
      <c r="R204" s="84"/>
      <c r="S204" s="379"/>
    </row>
    <row r="205" spans="1:19" s="28" customFormat="1" ht="30.75" customHeight="1" x14ac:dyDescent="0.35">
      <c r="A205" s="205"/>
      <c r="B205" s="80" t="s">
        <v>8</v>
      </c>
      <c r="C205" s="80"/>
      <c r="D205" s="81"/>
      <c r="E205" s="81"/>
      <c r="F205" s="81"/>
      <c r="G205" s="81">
        <v>41682.199999999997</v>
      </c>
      <c r="H205" s="81">
        <v>48629.3</v>
      </c>
      <c r="I205" s="81">
        <v>29524.87</v>
      </c>
      <c r="J205" s="83">
        <f t="shared" si="278"/>
        <v>0.61</v>
      </c>
      <c r="K205" s="81"/>
      <c r="L205" s="44">
        <f t="shared" si="279"/>
        <v>0</v>
      </c>
      <c r="M205" s="49">
        <f t="shared" si="280"/>
        <v>0</v>
      </c>
      <c r="N205" s="81">
        <v>41682.199999999997</v>
      </c>
      <c r="O205" s="81">
        <f t="shared" si="281"/>
        <v>6947.1</v>
      </c>
      <c r="P205" s="84">
        <f>N205/H205</f>
        <v>0.86</v>
      </c>
      <c r="Q205" s="149"/>
      <c r="R205" s="149"/>
      <c r="S205" s="379"/>
    </row>
    <row r="206" spans="1:19" s="28" customFormat="1" ht="30.75" customHeight="1" x14ac:dyDescent="0.35">
      <c r="A206" s="205"/>
      <c r="B206" s="75" t="s">
        <v>19</v>
      </c>
      <c r="C206" s="75"/>
      <c r="D206" s="76"/>
      <c r="E206" s="76"/>
      <c r="F206" s="76"/>
      <c r="G206" s="76"/>
      <c r="H206" s="76"/>
      <c r="I206" s="76"/>
      <c r="J206" s="38" t="e">
        <f t="shared" si="278"/>
        <v>#DIV/0!</v>
      </c>
      <c r="K206" s="37"/>
      <c r="L206" s="39" t="e">
        <f t="shared" si="279"/>
        <v>#DIV/0!</v>
      </c>
      <c r="M206" s="39" t="e">
        <f t="shared" si="280"/>
        <v>#DIV/0!</v>
      </c>
      <c r="N206" s="37"/>
      <c r="O206" s="37">
        <f t="shared" si="281"/>
        <v>0</v>
      </c>
      <c r="P206" s="39" t="e">
        <f t="shared" si="252"/>
        <v>#DIV/0!</v>
      </c>
      <c r="Q206" s="149"/>
      <c r="R206" s="149"/>
      <c r="S206" s="379"/>
    </row>
    <row r="207" spans="1:19" s="28" customFormat="1" ht="30.75" customHeight="1" x14ac:dyDescent="0.35">
      <c r="A207" s="205"/>
      <c r="B207" s="75" t="s">
        <v>22</v>
      </c>
      <c r="C207" s="75"/>
      <c r="D207" s="76"/>
      <c r="E207" s="76"/>
      <c r="F207" s="76"/>
      <c r="G207" s="76"/>
      <c r="H207" s="76"/>
      <c r="I207" s="76"/>
      <c r="J207" s="38" t="e">
        <f t="shared" si="278"/>
        <v>#DIV/0!</v>
      </c>
      <c r="K207" s="37"/>
      <c r="L207" s="39" t="e">
        <f t="shared" si="279"/>
        <v>#DIV/0!</v>
      </c>
      <c r="M207" s="39" t="e">
        <f t="shared" si="280"/>
        <v>#DIV/0!</v>
      </c>
      <c r="N207" s="37">
        <f>H207</f>
        <v>0</v>
      </c>
      <c r="O207" s="37">
        <f t="shared" si="281"/>
        <v>0</v>
      </c>
      <c r="P207" s="39" t="e">
        <f t="shared" si="252"/>
        <v>#DIV/0!</v>
      </c>
      <c r="Q207" s="149"/>
      <c r="R207" s="149"/>
      <c r="S207" s="379"/>
    </row>
    <row r="208" spans="1:19" s="28" customFormat="1" ht="55.5" customHeight="1" x14ac:dyDescent="0.35">
      <c r="A208" s="206"/>
      <c r="B208" s="163" t="s">
        <v>11</v>
      </c>
      <c r="C208" s="80"/>
      <c r="D208" s="81"/>
      <c r="E208" s="81"/>
      <c r="F208" s="81"/>
      <c r="G208" s="81"/>
      <c r="H208" s="82"/>
      <c r="I208" s="81"/>
      <c r="J208" s="43" t="e">
        <f t="shared" si="278"/>
        <v>#DIV/0!</v>
      </c>
      <c r="K208" s="41"/>
      <c r="L208" s="44" t="e">
        <f t="shared" si="279"/>
        <v>#DIV/0!</v>
      </c>
      <c r="M208" s="44" t="e">
        <f t="shared" si="280"/>
        <v>#DIV/0!</v>
      </c>
      <c r="N208" s="41"/>
      <c r="O208" s="332">
        <f t="shared" si="281"/>
        <v>0</v>
      </c>
      <c r="P208" s="44" t="e">
        <f>N208/H208</f>
        <v>#DIV/0!</v>
      </c>
      <c r="Q208" s="84"/>
      <c r="R208" s="84"/>
      <c r="S208" s="380"/>
    </row>
    <row r="209" spans="1:19" s="209" customFormat="1" ht="105.75" customHeight="1" x14ac:dyDescent="0.25">
      <c r="A209" s="137" t="s">
        <v>120</v>
      </c>
      <c r="B209" s="138" t="s">
        <v>272</v>
      </c>
      <c r="C209" s="138" t="s">
        <v>9</v>
      </c>
      <c r="D209" s="139" t="e">
        <f>D211+D212+#REF!+#REF!+#REF!</f>
        <v>#REF!</v>
      </c>
      <c r="E209" s="139" t="e">
        <f>E211+E212+#REF!+#REF!+#REF!</f>
        <v>#REF!</v>
      </c>
      <c r="F209" s="139" t="e">
        <f>F211+F212+#REF!+#REF!+#REF!</f>
        <v>#REF!</v>
      </c>
      <c r="G209" s="139"/>
      <c r="H209" s="139"/>
      <c r="I209" s="207"/>
      <c r="J209" s="140"/>
      <c r="K209" s="139"/>
      <c r="L209" s="57"/>
      <c r="M209" s="57"/>
      <c r="N209" s="141"/>
      <c r="O209" s="141"/>
      <c r="P209" s="141"/>
      <c r="Q209" s="126"/>
      <c r="R209" s="126"/>
      <c r="S209" s="208" t="s">
        <v>60</v>
      </c>
    </row>
    <row r="210" spans="1:19" s="150" customFormat="1" ht="44.25" customHeight="1" x14ac:dyDescent="0.25">
      <c r="A210" s="210"/>
      <c r="B210" s="211" t="s">
        <v>10</v>
      </c>
      <c r="C210" s="145"/>
      <c r="D210" s="146"/>
      <c r="E210" s="146"/>
      <c r="F210" s="146"/>
      <c r="G210" s="146"/>
      <c r="H210" s="146"/>
      <c r="I210" s="146"/>
      <c r="J210" s="147"/>
      <c r="K210" s="146"/>
      <c r="L210" s="148"/>
      <c r="M210" s="148"/>
      <c r="N210" s="148"/>
      <c r="O210" s="148"/>
      <c r="P210" s="148"/>
      <c r="Q210" s="149"/>
      <c r="R210" s="149"/>
      <c r="S210" s="212"/>
    </row>
    <row r="211" spans="1:19" s="150" customFormat="1" ht="44.25" customHeight="1" x14ac:dyDescent="0.25">
      <c r="A211" s="210"/>
      <c r="B211" s="211" t="s">
        <v>8</v>
      </c>
      <c r="C211" s="145"/>
      <c r="D211" s="146" t="e">
        <f>#REF!+#REF!</f>
        <v>#REF!</v>
      </c>
      <c r="E211" s="146" t="e">
        <f>#REF!+#REF!</f>
        <v>#REF!</v>
      </c>
      <c r="F211" s="146" t="e">
        <f>#REF!+#REF!</f>
        <v>#REF!</v>
      </c>
      <c r="G211" s="146"/>
      <c r="H211" s="146"/>
      <c r="I211" s="146"/>
      <c r="J211" s="147"/>
      <c r="K211" s="146"/>
      <c r="L211" s="148"/>
      <c r="M211" s="148"/>
      <c r="N211" s="148"/>
      <c r="O211" s="148"/>
      <c r="P211" s="148"/>
      <c r="Q211" s="149"/>
      <c r="R211" s="149"/>
      <c r="S211" s="212"/>
    </row>
    <row r="212" spans="1:19" s="150" customFormat="1" ht="44.25" customHeight="1" x14ac:dyDescent="0.25">
      <c r="A212" s="213"/>
      <c r="B212" s="211" t="s">
        <v>19</v>
      </c>
      <c r="C212" s="145"/>
      <c r="D212" s="146"/>
      <c r="E212" s="146"/>
      <c r="F212" s="146"/>
      <c r="G212" s="146"/>
      <c r="H212" s="146"/>
      <c r="I212" s="146"/>
      <c r="J212" s="147"/>
      <c r="K212" s="146"/>
      <c r="L212" s="148"/>
      <c r="M212" s="148"/>
      <c r="N212" s="148"/>
      <c r="O212" s="148"/>
      <c r="P212" s="148"/>
      <c r="Q212" s="84"/>
      <c r="R212" s="84"/>
      <c r="S212" s="80"/>
    </row>
    <row r="213" spans="1:19" ht="71.25" customHeight="1" x14ac:dyDescent="0.35">
      <c r="A213" s="396" t="s">
        <v>3</v>
      </c>
      <c r="B213" s="190" t="s">
        <v>271</v>
      </c>
      <c r="C213" s="138" t="s">
        <v>9</v>
      </c>
      <c r="D213" s="139" t="e">
        <f>SUM(D214:D218)</f>
        <v>#REF!</v>
      </c>
      <c r="E213" s="139" t="e">
        <f t="shared" ref="E213:I213" si="282">SUM(E214:E218)</f>
        <v>#REF!</v>
      </c>
      <c r="F213" s="139" t="e">
        <f t="shared" si="282"/>
        <v>#REF!</v>
      </c>
      <c r="G213" s="139">
        <f t="shared" si="282"/>
        <v>174321.68</v>
      </c>
      <c r="H213" s="139">
        <f t="shared" si="282"/>
        <v>174321.68</v>
      </c>
      <c r="I213" s="139">
        <f t="shared" si="282"/>
        <v>66308.17</v>
      </c>
      <c r="J213" s="214">
        <f>I213/H213</f>
        <v>0.38</v>
      </c>
      <c r="K213" s="139">
        <f t="shared" ref="K213" si="283">SUM(K214:K218)</f>
        <v>62157.61</v>
      </c>
      <c r="L213" s="141">
        <f t="shared" ref="L213:L218" si="284">K213/H213</f>
        <v>0.36</v>
      </c>
      <c r="M213" s="140">
        <f>K213/I213</f>
        <v>0.94</v>
      </c>
      <c r="N213" s="139">
        <f t="shared" ref="N213" si="285">SUM(N214:N218)</f>
        <v>170480.01</v>
      </c>
      <c r="O213" s="139">
        <f>H213-N213</f>
        <v>3841.67</v>
      </c>
      <c r="P213" s="140">
        <f t="shared" ref="P213:P218" si="286">N213/H213</f>
        <v>0.98</v>
      </c>
      <c r="Q213" s="191"/>
      <c r="R213" s="191"/>
      <c r="S213" s="381" t="s">
        <v>383</v>
      </c>
    </row>
    <row r="214" spans="1:19" ht="40.5" customHeight="1" x14ac:dyDescent="0.35">
      <c r="A214" s="397"/>
      <c r="B214" s="145" t="s">
        <v>10</v>
      </c>
      <c r="C214" s="145"/>
      <c r="D214" s="146">
        <f>D220</f>
        <v>0</v>
      </c>
      <c r="E214" s="146">
        <f t="shared" ref="E214:F214" si="287">E220</f>
        <v>0</v>
      </c>
      <c r="F214" s="146">
        <f t="shared" si="287"/>
        <v>0</v>
      </c>
      <c r="G214" s="146">
        <f t="shared" ref="G214:I218" si="288">G220+G256</f>
        <v>100.1</v>
      </c>
      <c r="H214" s="146">
        <f t="shared" si="288"/>
        <v>100.1</v>
      </c>
      <c r="I214" s="352">
        <f t="shared" si="288"/>
        <v>0</v>
      </c>
      <c r="J214" s="353">
        <f t="shared" ref="J214" si="289">I214/H214</f>
        <v>0</v>
      </c>
      <c r="K214" s="352">
        <f>K220+K256</f>
        <v>0</v>
      </c>
      <c r="L214" s="358"/>
      <c r="M214" s="353" t="e">
        <f t="shared" ref="M214" si="290">K214/I214</f>
        <v>#DIV/0!</v>
      </c>
      <c r="N214" s="146">
        <f t="shared" ref="N214:O218" si="291">N220+N256</f>
        <v>100.1</v>
      </c>
      <c r="O214" s="146">
        <f t="shared" si="291"/>
        <v>0</v>
      </c>
      <c r="P214" s="148">
        <f t="shared" si="286"/>
        <v>1</v>
      </c>
      <c r="Q214" s="149"/>
      <c r="R214" s="149"/>
      <c r="S214" s="366"/>
    </row>
    <row r="215" spans="1:19" ht="40.5" customHeight="1" x14ac:dyDescent="0.35">
      <c r="A215" s="397"/>
      <c r="B215" s="145" t="s">
        <v>8</v>
      </c>
      <c r="C215" s="145"/>
      <c r="D215" s="146">
        <f t="shared" ref="D215:F218" si="292">D221</f>
        <v>0</v>
      </c>
      <c r="E215" s="146">
        <f t="shared" si="292"/>
        <v>0</v>
      </c>
      <c r="F215" s="146">
        <f t="shared" si="292"/>
        <v>0</v>
      </c>
      <c r="G215" s="146">
        <f t="shared" si="288"/>
        <v>165144.4</v>
      </c>
      <c r="H215" s="146">
        <f t="shared" si="288"/>
        <v>165144.4</v>
      </c>
      <c r="I215" s="146">
        <f t="shared" si="288"/>
        <v>62834.81</v>
      </c>
      <c r="J215" s="215">
        <f>I215/H215</f>
        <v>0.38</v>
      </c>
      <c r="K215" s="146">
        <f>K221+K257</f>
        <v>58684.25</v>
      </c>
      <c r="L215" s="216">
        <f>K215/H215</f>
        <v>0.35499999999999998</v>
      </c>
      <c r="M215" s="147">
        <f>K215/I215</f>
        <v>0.93</v>
      </c>
      <c r="N215" s="146">
        <f t="shared" si="291"/>
        <v>161494.82</v>
      </c>
      <c r="O215" s="146">
        <f t="shared" si="291"/>
        <v>3649.58</v>
      </c>
      <c r="P215" s="148">
        <f t="shared" si="286"/>
        <v>0.98</v>
      </c>
      <c r="Q215" s="84"/>
      <c r="R215" s="84"/>
      <c r="S215" s="366"/>
    </row>
    <row r="216" spans="1:19" ht="56.25" customHeight="1" x14ac:dyDescent="0.35">
      <c r="A216" s="217"/>
      <c r="B216" s="178" t="s">
        <v>19</v>
      </c>
      <c r="C216" s="178"/>
      <c r="D216" s="179">
        <f t="shared" si="292"/>
        <v>0</v>
      </c>
      <c r="E216" s="179">
        <f t="shared" si="292"/>
        <v>0</v>
      </c>
      <c r="F216" s="179">
        <f t="shared" si="292"/>
        <v>0</v>
      </c>
      <c r="G216" s="146">
        <f t="shared" si="288"/>
        <v>9077.18</v>
      </c>
      <c r="H216" s="146">
        <f t="shared" si="288"/>
        <v>9077.18</v>
      </c>
      <c r="I216" s="146">
        <f t="shared" si="288"/>
        <v>3473.36</v>
      </c>
      <c r="J216" s="218">
        <f t="shared" ref="J216:J218" si="293">I216/H216</f>
        <v>0.38</v>
      </c>
      <c r="K216" s="146">
        <f>K222+K258</f>
        <v>3473.36</v>
      </c>
      <c r="L216" s="219">
        <f t="shared" si="284"/>
        <v>0.38</v>
      </c>
      <c r="M216" s="218">
        <f t="shared" ref="M216:M218" si="294">K216/I216</f>
        <v>1</v>
      </c>
      <c r="N216" s="146">
        <f t="shared" si="291"/>
        <v>8885.09</v>
      </c>
      <c r="O216" s="146">
        <f t="shared" si="291"/>
        <v>192.09</v>
      </c>
      <c r="P216" s="219">
        <f t="shared" si="286"/>
        <v>0.98</v>
      </c>
      <c r="Q216" s="149"/>
      <c r="R216" s="149"/>
      <c r="S216" s="366" t="s">
        <v>363</v>
      </c>
    </row>
    <row r="217" spans="1:19" ht="82.5" customHeight="1" x14ac:dyDescent="0.35">
      <c r="A217" s="217"/>
      <c r="B217" s="145" t="s">
        <v>22</v>
      </c>
      <c r="C217" s="145"/>
      <c r="D217" s="146">
        <f t="shared" si="292"/>
        <v>0</v>
      </c>
      <c r="E217" s="146">
        <f t="shared" si="292"/>
        <v>0</v>
      </c>
      <c r="F217" s="146">
        <f t="shared" si="292"/>
        <v>0</v>
      </c>
      <c r="G217" s="352">
        <f t="shared" si="288"/>
        <v>0</v>
      </c>
      <c r="H217" s="352">
        <f t="shared" si="288"/>
        <v>0</v>
      </c>
      <c r="I217" s="352">
        <f t="shared" si="288"/>
        <v>0</v>
      </c>
      <c r="J217" s="353" t="e">
        <f t="shared" si="293"/>
        <v>#DIV/0!</v>
      </c>
      <c r="K217" s="352">
        <f>K223+K259</f>
        <v>0</v>
      </c>
      <c r="L217" s="354" t="e">
        <f t="shared" si="284"/>
        <v>#DIV/0!</v>
      </c>
      <c r="M217" s="353" t="e">
        <f t="shared" si="294"/>
        <v>#DIV/0!</v>
      </c>
      <c r="N217" s="352">
        <f t="shared" si="291"/>
        <v>0</v>
      </c>
      <c r="O217" s="352">
        <f t="shared" si="291"/>
        <v>0</v>
      </c>
      <c r="P217" s="354" t="e">
        <f t="shared" si="286"/>
        <v>#DIV/0!</v>
      </c>
      <c r="Q217" s="149"/>
      <c r="R217" s="149"/>
      <c r="S217" s="366"/>
    </row>
    <row r="218" spans="1:19" ht="82.5" customHeight="1" x14ac:dyDescent="0.35">
      <c r="A218" s="220"/>
      <c r="B218" s="145" t="s">
        <v>11</v>
      </c>
      <c r="C218" s="145"/>
      <c r="D218" s="146" t="e">
        <f t="shared" si="292"/>
        <v>#REF!</v>
      </c>
      <c r="E218" s="146" t="e">
        <f t="shared" si="292"/>
        <v>#REF!</v>
      </c>
      <c r="F218" s="146" t="e">
        <f t="shared" si="292"/>
        <v>#REF!</v>
      </c>
      <c r="G218" s="352">
        <f t="shared" si="288"/>
        <v>0</v>
      </c>
      <c r="H218" s="352">
        <f t="shared" si="288"/>
        <v>0</v>
      </c>
      <c r="I218" s="352">
        <f t="shared" si="288"/>
        <v>0</v>
      </c>
      <c r="J218" s="353" t="e">
        <f t="shared" si="293"/>
        <v>#DIV/0!</v>
      </c>
      <c r="K218" s="352">
        <f>K224+K260</f>
        <v>0</v>
      </c>
      <c r="L218" s="354" t="e">
        <f t="shared" si="284"/>
        <v>#DIV/0!</v>
      </c>
      <c r="M218" s="353" t="e">
        <f t="shared" si="294"/>
        <v>#DIV/0!</v>
      </c>
      <c r="N218" s="352">
        <f t="shared" si="291"/>
        <v>0</v>
      </c>
      <c r="O218" s="352">
        <f t="shared" si="291"/>
        <v>0</v>
      </c>
      <c r="P218" s="354" t="e">
        <f t="shared" si="286"/>
        <v>#DIV/0!</v>
      </c>
      <c r="Q218" s="84"/>
      <c r="R218" s="84"/>
      <c r="S218" s="367"/>
    </row>
    <row r="219" spans="1:19" s="183" customFormat="1" ht="59.25" customHeight="1" x14ac:dyDescent="0.35">
      <c r="A219" s="152" t="s">
        <v>121</v>
      </c>
      <c r="B219" s="154" t="s">
        <v>357</v>
      </c>
      <c r="C219" s="154" t="s">
        <v>2</v>
      </c>
      <c r="D219" s="155" t="e">
        <f t="shared" ref="D219" si="295">SUM(D220:D224)</f>
        <v>#REF!</v>
      </c>
      <c r="E219" s="155" t="e">
        <f>SUM(E220:E224)</f>
        <v>#REF!</v>
      </c>
      <c r="F219" s="155" t="e">
        <f>SUM(F220:F224)</f>
        <v>#REF!</v>
      </c>
      <c r="G219" s="155">
        <f>SUM(G220:G224)</f>
        <v>173321.68</v>
      </c>
      <c r="H219" s="155">
        <f t="shared" ref="H219:I219" si="296">SUM(H220:H224)</f>
        <v>173321.68</v>
      </c>
      <c r="I219" s="155">
        <f t="shared" si="296"/>
        <v>65308.17</v>
      </c>
      <c r="J219" s="202">
        <f>I219/H219</f>
        <v>0.377</v>
      </c>
      <c r="K219" s="155">
        <f>SUM(K220:K224)</f>
        <v>61657.61</v>
      </c>
      <c r="L219" s="222">
        <f t="shared" ref="L219:L223" si="297">K219/H219</f>
        <v>0.35599999999999998</v>
      </c>
      <c r="M219" s="156">
        <f>K219/I219</f>
        <v>0.94</v>
      </c>
      <c r="N219" s="155">
        <f t="shared" ref="N219" si="298">SUM(N220:N224)</f>
        <v>169480.01</v>
      </c>
      <c r="O219" s="155">
        <f>H219-N219</f>
        <v>3841.67</v>
      </c>
      <c r="P219" s="182">
        <f t="shared" ref="P219:P237" si="299">N219/H219</f>
        <v>0.98</v>
      </c>
      <c r="Q219" s="173"/>
      <c r="R219" s="173"/>
      <c r="S219" s="328"/>
    </row>
    <row r="220" spans="1:19" s="28" customFormat="1" ht="30.75" customHeight="1" x14ac:dyDescent="0.35">
      <c r="A220" s="74"/>
      <c r="B220" s="75" t="s">
        <v>10</v>
      </c>
      <c r="C220" s="75"/>
      <c r="D220" s="76">
        <f>D244</f>
        <v>0</v>
      </c>
      <c r="E220" s="76">
        <f t="shared" ref="E220:F220" si="300">E244</f>
        <v>0</v>
      </c>
      <c r="F220" s="76">
        <f t="shared" si="300"/>
        <v>0</v>
      </c>
      <c r="G220" s="76">
        <f>G226+G232+G238+G250</f>
        <v>100.1</v>
      </c>
      <c r="H220" s="76">
        <f t="shared" ref="H220:K220" si="301">H226+H232+H238+H250</f>
        <v>100.1</v>
      </c>
      <c r="I220" s="76">
        <f t="shared" si="301"/>
        <v>0</v>
      </c>
      <c r="J220" s="204">
        <f t="shared" ref="J220:J223" si="302">I220/H220</f>
        <v>0</v>
      </c>
      <c r="K220" s="76">
        <f t="shared" si="301"/>
        <v>0</v>
      </c>
      <c r="L220" s="78">
        <f t="shared" si="297"/>
        <v>0</v>
      </c>
      <c r="M220" s="39" t="e">
        <f t="shared" ref="M220:M223" si="303">K220/I220</f>
        <v>#DIV/0!</v>
      </c>
      <c r="N220" s="76">
        <f t="shared" ref="N220:N224" si="304">N226+N232+N238+N250</f>
        <v>100.1</v>
      </c>
      <c r="O220" s="76">
        <f>H220-N220</f>
        <v>0</v>
      </c>
      <c r="P220" s="78">
        <f t="shared" si="299"/>
        <v>1</v>
      </c>
      <c r="Q220" s="149"/>
      <c r="R220" s="149"/>
      <c r="S220" s="194"/>
    </row>
    <row r="221" spans="1:19" s="28" customFormat="1" ht="30.75" customHeight="1" x14ac:dyDescent="0.35">
      <c r="A221" s="74"/>
      <c r="B221" s="75" t="s">
        <v>8</v>
      </c>
      <c r="C221" s="75"/>
      <c r="D221" s="76">
        <f t="shared" ref="D221:F223" si="305">D245</f>
        <v>0</v>
      </c>
      <c r="E221" s="76">
        <f t="shared" si="305"/>
        <v>0</v>
      </c>
      <c r="F221" s="76">
        <f t="shared" si="305"/>
        <v>0</v>
      </c>
      <c r="G221" s="76">
        <f>G227+G233+G239+G251</f>
        <v>164144.4</v>
      </c>
      <c r="H221" s="76">
        <f t="shared" ref="H221:I221" si="306">H227+H233+H239+H251</f>
        <v>164144.4</v>
      </c>
      <c r="I221" s="76">
        <f t="shared" si="306"/>
        <v>61834.81</v>
      </c>
      <c r="J221" s="204">
        <f t="shared" si="302"/>
        <v>0.377</v>
      </c>
      <c r="K221" s="76">
        <f t="shared" ref="K221" si="307">K227+K233+K239+K251</f>
        <v>58184.25</v>
      </c>
      <c r="L221" s="78">
        <f t="shared" si="297"/>
        <v>0.35</v>
      </c>
      <c r="M221" s="78">
        <f t="shared" si="303"/>
        <v>0.94</v>
      </c>
      <c r="N221" s="76">
        <f t="shared" si="304"/>
        <v>160494.82</v>
      </c>
      <c r="O221" s="76">
        <f t="shared" ref="O221:O224" si="308">H221-N221</f>
        <v>3649.58</v>
      </c>
      <c r="P221" s="78">
        <f t="shared" si="299"/>
        <v>0.98</v>
      </c>
      <c r="Q221" s="149"/>
      <c r="R221" s="149"/>
      <c r="S221" s="194"/>
    </row>
    <row r="222" spans="1:19" s="28" customFormat="1" ht="30.75" customHeight="1" x14ac:dyDescent="0.35">
      <c r="A222" s="74"/>
      <c r="B222" s="75" t="s">
        <v>19</v>
      </c>
      <c r="C222" s="75"/>
      <c r="D222" s="76">
        <f t="shared" si="305"/>
        <v>0</v>
      </c>
      <c r="E222" s="76">
        <f t="shared" si="305"/>
        <v>0</v>
      </c>
      <c r="F222" s="76">
        <f t="shared" si="305"/>
        <v>0</v>
      </c>
      <c r="G222" s="76">
        <f t="shared" ref="G222:I222" si="309">G228+G234+G240+G252</f>
        <v>9077.18</v>
      </c>
      <c r="H222" s="76">
        <f t="shared" si="309"/>
        <v>9077.18</v>
      </c>
      <c r="I222" s="76">
        <f t="shared" si="309"/>
        <v>3473.36</v>
      </c>
      <c r="J222" s="77">
        <f t="shared" si="302"/>
        <v>0.38</v>
      </c>
      <c r="K222" s="76">
        <f t="shared" ref="K222" si="310">K228+K234+K240+K252</f>
        <v>3473.36</v>
      </c>
      <c r="L222" s="78">
        <f t="shared" si="297"/>
        <v>0.38</v>
      </c>
      <c r="M222" s="78">
        <f t="shared" si="303"/>
        <v>1</v>
      </c>
      <c r="N222" s="76">
        <f t="shared" si="304"/>
        <v>8885.09</v>
      </c>
      <c r="O222" s="76">
        <f t="shared" si="308"/>
        <v>192.09</v>
      </c>
      <c r="P222" s="78">
        <f t="shared" si="299"/>
        <v>0.98</v>
      </c>
      <c r="Q222" s="149"/>
      <c r="R222" s="149"/>
      <c r="S222" s="194"/>
    </row>
    <row r="223" spans="1:19" s="28" customFormat="1" ht="30.75" customHeight="1" x14ac:dyDescent="0.35">
      <c r="A223" s="74"/>
      <c r="B223" s="75" t="s">
        <v>22</v>
      </c>
      <c r="C223" s="75"/>
      <c r="D223" s="76">
        <f t="shared" si="305"/>
        <v>0</v>
      </c>
      <c r="E223" s="76">
        <f t="shared" si="305"/>
        <v>0</v>
      </c>
      <c r="F223" s="76">
        <f t="shared" si="305"/>
        <v>0</v>
      </c>
      <c r="G223" s="76">
        <f t="shared" ref="G223:I223" si="311">G229+G235+G241+G253</f>
        <v>0</v>
      </c>
      <c r="H223" s="76">
        <f t="shared" si="311"/>
        <v>0</v>
      </c>
      <c r="I223" s="76">
        <f t="shared" si="311"/>
        <v>0</v>
      </c>
      <c r="J223" s="38" t="e">
        <f t="shared" si="302"/>
        <v>#DIV/0!</v>
      </c>
      <c r="K223" s="37">
        <f t="shared" ref="K223" si="312">K229+K235+K241+K253</f>
        <v>0</v>
      </c>
      <c r="L223" s="39" t="e">
        <f t="shared" si="297"/>
        <v>#DIV/0!</v>
      </c>
      <c r="M223" s="39" t="e">
        <f t="shared" si="303"/>
        <v>#DIV/0!</v>
      </c>
      <c r="N223" s="37">
        <f t="shared" si="304"/>
        <v>0</v>
      </c>
      <c r="O223" s="37">
        <f t="shared" si="308"/>
        <v>0</v>
      </c>
      <c r="P223" s="39" t="e">
        <f t="shared" si="299"/>
        <v>#DIV/0!</v>
      </c>
      <c r="Q223" s="149"/>
      <c r="R223" s="149"/>
      <c r="S223" s="194"/>
    </row>
    <row r="224" spans="1:19" s="28" customFormat="1" ht="30.75" customHeight="1" x14ac:dyDescent="0.35">
      <c r="A224" s="188"/>
      <c r="B224" s="80" t="s">
        <v>11</v>
      </c>
      <c r="C224" s="80"/>
      <c r="D224" s="81" t="e">
        <f>#REF!</f>
        <v>#REF!</v>
      </c>
      <c r="E224" s="81" t="e">
        <f>#REF!</f>
        <v>#REF!</v>
      </c>
      <c r="F224" s="81" t="e">
        <f>#REF!</f>
        <v>#REF!</v>
      </c>
      <c r="G224" s="76">
        <f t="shared" ref="G224:I224" si="313">G230+G236+G242+G254</f>
        <v>0</v>
      </c>
      <c r="H224" s="76">
        <f t="shared" si="313"/>
        <v>0</v>
      </c>
      <c r="I224" s="76">
        <f t="shared" si="313"/>
        <v>0</v>
      </c>
      <c r="J224" s="43"/>
      <c r="K224" s="37"/>
      <c r="L224" s="44"/>
      <c r="M224" s="44"/>
      <c r="N224" s="37">
        <f t="shared" si="304"/>
        <v>0</v>
      </c>
      <c r="O224" s="41">
        <f t="shared" si="308"/>
        <v>0</v>
      </c>
      <c r="P224" s="44" t="e">
        <f t="shared" si="299"/>
        <v>#DIV/0!</v>
      </c>
      <c r="Q224" s="84"/>
      <c r="R224" s="84"/>
      <c r="S224" s="195"/>
    </row>
    <row r="225" spans="1:19" s="28" customFormat="1" ht="165.75" customHeight="1" x14ac:dyDescent="0.35">
      <c r="A225" s="67" t="s">
        <v>122</v>
      </c>
      <c r="B225" s="69" t="s">
        <v>62</v>
      </c>
      <c r="C225" s="69" t="s">
        <v>17</v>
      </c>
      <c r="D225" s="70">
        <f t="shared" ref="D225:I225" si="314">SUM(D226:D230)</f>
        <v>0</v>
      </c>
      <c r="E225" s="70">
        <f t="shared" si="314"/>
        <v>0</v>
      </c>
      <c r="F225" s="70">
        <f t="shared" si="314"/>
        <v>0</v>
      </c>
      <c r="G225" s="70">
        <f>SUM(G226:G230)</f>
        <v>3130.1</v>
      </c>
      <c r="H225" s="70">
        <f t="shared" si="314"/>
        <v>3130.1</v>
      </c>
      <c r="I225" s="70">
        <f t="shared" si="314"/>
        <v>2575.5</v>
      </c>
      <c r="J225" s="72">
        <f>I225/H225</f>
        <v>0.82</v>
      </c>
      <c r="K225" s="70">
        <f>SUM(K226:K230)</f>
        <v>0</v>
      </c>
      <c r="L225" s="73">
        <f>K225/H225</f>
        <v>0</v>
      </c>
      <c r="M225" s="73">
        <f t="shared" ref="M225:M237" si="315">K225/I225</f>
        <v>0</v>
      </c>
      <c r="N225" s="70">
        <f>SUM(N226:N230)</f>
        <v>3130.1</v>
      </c>
      <c r="O225" s="70">
        <f>H225-N225</f>
        <v>0</v>
      </c>
      <c r="P225" s="73">
        <f t="shared" si="299"/>
        <v>1</v>
      </c>
      <c r="Q225" s="165"/>
      <c r="R225" s="165"/>
      <c r="S225" s="369" t="s">
        <v>375</v>
      </c>
    </row>
    <row r="226" spans="1:19" s="28" customFormat="1" ht="30.75" customHeight="1" x14ac:dyDescent="0.35">
      <c r="A226" s="74"/>
      <c r="B226" s="75" t="s">
        <v>10</v>
      </c>
      <c r="C226" s="75"/>
      <c r="D226" s="76"/>
      <c r="E226" s="76"/>
      <c r="F226" s="76"/>
      <c r="G226" s="76">
        <v>100.1</v>
      </c>
      <c r="H226" s="76">
        <v>100.1</v>
      </c>
      <c r="I226" s="76"/>
      <c r="J226" s="77">
        <f t="shared" ref="J226:J230" si="316">I226/H226</f>
        <v>0</v>
      </c>
      <c r="K226" s="76"/>
      <c r="L226" s="39">
        <f t="shared" ref="L226:L230" si="317">K226/H226</f>
        <v>0</v>
      </c>
      <c r="M226" s="39" t="e">
        <f t="shared" si="315"/>
        <v>#DIV/0!</v>
      </c>
      <c r="N226" s="76">
        <f>H226</f>
        <v>100.1</v>
      </c>
      <c r="O226" s="76">
        <f>H226-N226</f>
        <v>0</v>
      </c>
      <c r="P226" s="78">
        <f t="shared" si="299"/>
        <v>1</v>
      </c>
      <c r="Q226" s="149"/>
      <c r="R226" s="149"/>
      <c r="S226" s="370"/>
    </row>
    <row r="227" spans="1:19" s="28" customFormat="1" ht="30.75" customHeight="1" x14ac:dyDescent="0.35">
      <c r="A227" s="74"/>
      <c r="B227" s="75" t="s">
        <v>8</v>
      </c>
      <c r="C227" s="75"/>
      <c r="D227" s="76"/>
      <c r="E227" s="76"/>
      <c r="F227" s="76"/>
      <c r="G227" s="76">
        <v>2575.5</v>
      </c>
      <c r="H227" s="76">
        <v>2575.5</v>
      </c>
      <c r="I227" s="76">
        <v>2575.5</v>
      </c>
      <c r="J227" s="77">
        <f t="shared" si="316"/>
        <v>1</v>
      </c>
      <c r="K227" s="76"/>
      <c r="L227" s="39">
        <f t="shared" si="317"/>
        <v>0</v>
      </c>
      <c r="M227" s="39">
        <f t="shared" si="315"/>
        <v>0</v>
      </c>
      <c r="N227" s="76">
        <f>H227</f>
        <v>2575.5</v>
      </c>
      <c r="O227" s="76">
        <f t="shared" ref="O227:O230" si="318">H227-N227</f>
        <v>0</v>
      </c>
      <c r="P227" s="78">
        <f t="shared" si="299"/>
        <v>1</v>
      </c>
      <c r="Q227" s="149"/>
      <c r="R227" s="149"/>
      <c r="S227" s="370"/>
    </row>
    <row r="228" spans="1:19" s="28" customFormat="1" ht="30.75" customHeight="1" x14ac:dyDescent="0.35">
      <c r="A228" s="74"/>
      <c r="B228" s="75" t="s">
        <v>19</v>
      </c>
      <c r="C228" s="75"/>
      <c r="D228" s="76"/>
      <c r="E228" s="76"/>
      <c r="F228" s="76"/>
      <c r="G228" s="76">
        <v>454.5</v>
      </c>
      <c r="H228" s="76">
        <v>454.5</v>
      </c>
      <c r="I228" s="76"/>
      <c r="J228" s="77">
        <f t="shared" si="316"/>
        <v>0</v>
      </c>
      <c r="K228" s="76"/>
      <c r="L228" s="39">
        <f t="shared" si="317"/>
        <v>0</v>
      </c>
      <c r="M228" s="39" t="e">
        <f t="shared" si="315"/>
        <v>#DIV/0!</v>
      </c>
      <c r="N228" s="76">
        <f>H228</f>
        <v>454.5</v>
      </c>
      <c r="O228" s="76">
        <f t="shared" si="318"/>
        <v>0</v>
      </c>
      <c r="P228" s="78">
        <f t="shared" si="299"/>
        <v>1</v>
      </c>
      <c r="Q228" s="149"/>
      <c r="R228" s="149"/>
      <c r="S228" s="370"/>
    </row>
    <row r="229" spans="1:19" s="28" customFormat="1" ht="30.75" customHeight="1" x14ac:dyDescent="0.35">
      <c r="A229" s="74"/>
      <c r="B229" s="75" t="s">
        <v>22</v>
      </c>
      <c r="C229" s="75"/>
      <c r="D229" s="76"/>
      <c r="E229" s="76"/>
      <c r="F229" s="76"/>
      <c r="G229" s="76"/>
      <c r="H229" s="76"/>
      <c r="I229" s="76"/>
      <c r="J229" s="38" t="e">
        <f t="shared" si="316"/>
        <v>#DIV/0!</v>
      </c>
      <c r="K229" s="37"/>
      <c r="L229" s="39" t="e">
        <f t="shared" si="317"/>
        <v>#DIV/0!</v>
      </c>
      <c r="M229" s="39" t="e">
        <f t="shared" si="315"/>
        <v>#DIV/0!</v>
      </c>
      <c r="N229" s="37">
        <f t="shared" ref="N229" si="319">H229</f>
        <v>0</v>
      </c>
      <c r="O229" s="37">
        <f t="shared" si="318"/>
        <v>0</v>
      </c>
      <c r="P229" s="39" t="e">
        <f t="shared" si="299"/>
        <v>#DIV/0!</v>
      </c>
      <c r="Q229" s="149"/>
      <c r="R229" s="149"/>
      <c r="S229" s="370"/>
    </row>
    <row r="230" spans="1:19" s="28" customFormat="1" ht="30.75" customHeight="1" x14ac:dyDescent="0.35">
      <c r="A230" s="188"/>
      <c r="B230" s="75" t="s">
        <v>11</v>
      </c>
      <c r="C230" s="75"/>
      <c r="D230" s="76"/>
      <c r="E230" s="76"/>
      <c r="F230" s="76"/>
      <c r="G230" s="76"/>
      <c r="H230" s="79"/>
      <c r="I230" s="76"/>
      <c r="J230" s="38" t="e">
        <f t="shared" si="316"/>
        <v>#DIV/0!</v>
      </c>
      <c r="K230" s="37"/>
      <c r="L230" s="39" t="e">
        <f t="shared" si="317"/>
        <v>#DIV/0!</v>
      </c>
      <c r="M230" s="39" t="e">
        <f t="shared" si="315"/>
        <v>#DIV/0!</v>
      </c>
      <c r="N230" s="37"/>
      <c r="O230" s="37">
        <f t="shared" si="318"/>
        <v>0</v>
      </c>
      <c r="P230" s="39" t="e">
        <f t="shared" si="299"/>
        <v>#DIV/0!</v>
      </c>
      <c r="Q230" s="84"/>
      <c r="R230" s="84"/>
      <c r="S230" s="371"/>
    </row>
    <row r="231" spans="1:19" s="28" customFormat="1" ht="81" customHeight="1" x14ac:dyDescent="0.35">
      <c r="A231" s="67" t="s">
        <v>123</v>
      </c>
      <c r="B231" s="69" t="s">
        <v>66</v>
      </c>
      <c r="C231" s="69" t="s">
        <v>17</v>
      </c>
      <c r="D231" s="70">
        <f t="shared" ref="D231:I231" si="320">SUM(D232:D236)</f>
        <v>0</v>
      </c>
      <c r="E231" s="70">
        <f t="shared" si="320"/>
        <v>0</v>
      </c>
      <c r="F231" s="70">
        <f t="shared" si="320"/>
        <v>0</v>
      </c>
      <c r="G231" s="70">
        <f t="shared" si="320"/>
        <v>1225.8800000000001</v>
      </c>
      <c r="H231" s="70">
        <f t="shared" si="320"/>
        <v>1225.8800000000001</v>
      </c>
      <c r="I231" s="70">
        <f t="shared" si="320"/>
        <v>1042</v>
      </c>
      <c r="J231" s="72">
        <f>I231/H231</f>
        <v>0.85</v>
      </c>
      <c r="K231" s="70">
        <f>SUM(K232:K236)</f>
        <v>0</v>
      </c>
      <c r="L231" s="56">
        <f>K231/H231</f>
        <v>0</v>
      </c>
      <c r="M231" s="56">
        <f t="shared" si="315"/>
        <v>0</v>
      </c>
      <c r="N231" s="70">
        <f>SUM(N232:N236)</f>
        <v>1225.8800000000001</v>
      </c>
      <c r="O231" s="70">
        <f>H231-N231</f>
        <v>0</v>
      </c>
      <c r="P231" s="73">
        <f t="shared" si="299"/>
        <v>1</v>
      </c>
      <c r="Q231" s="165"/>
      <c r="R231" s="165"/>
      <c r="S231" s="372" t="s">
        <v>358</v>
      </c>
    </row>
    <row r="232" spans="1:19" s="28" customFormat="1" ht="30.75" customHeight="1" x14ac:dyDescent="0.35">
      <c r="A232" s="74"/>
      <c r="B232" s="75" t="s">
        <v>10</v>
      </c>
      <c r="C232" s="75"/>
      <c r="D232" s="76"/>
      <c r="E232" s="76"/>
      <c r="F232" s="76"/>
      <c r="G232" s="76"/>
      <c r="H232" s="79"/>
      <c r="I232" s="76"/>
      <c r="J232" s="38" t="e">
        <f t="shared" ref="J232:J236" si="321">I232/H232</f>
        <v>#DIV/0!</v>
      </c>
      <c r="K232" s="37"/>
      <c r="L232" s="39" t="e">
        <f t="shared" ref="L232:L236" si="322">K232/H232</f>
        <v>#DIV/0!</v>
      </c>
      <c r="M232" s="39" t="e">
        <f t="shared" si="315"/>
        <v>#DIV/0!</v>
      </c>
      <c r="N232" s="37"/>
      <c r="O232" s="37">
        <f>H232-N232</f>
        <v>0</v>
      </c>
      <c r="P232" s="39" t="e">
        <f t="shared" si="299"/>
        <v>#DIV/0!</v>
      </c>
      <c r="Q232" s="149"/>
      <c r="R232" s="149"/>
      <c r="S232" s="373"/>
    </row>
    <row r="233" spans="1:19" s="28" customFormat="1" ht="30.75" customHeight="1" x14ac:dyDescent="0.35">
      <c r="A233" s="74"/>
      <c r="B233" s="75" t="s">
        <v>8</v>
      </c>
      <c r="C233" s="75"/>
      <c r="D233" s="76"/>
      <c r="E233" s="76"/>
      <c r="F233" s="76"/>
      <c r="G233" s="76">
        <v>1042</v>
      </c>
      <c r="H233" s="76">
        <v>1042</v>
      </c>
      <c r="I233" s="76">
        <v>1042</v>
      </c>
      <c r="J233" s="77">
        <f t="shared" si="321"/>
        <v>1</v>
      </c>
      <c r="K233" s="76"/>
      <c r="L233" s="39">
        <f t="shared" si="322"/>
        <v>0</v>
      </c>
      <c r="M233" s="39">
        <f t="shared" si="315"/>
        <v>0</v>
      </c>
      <c r="N233" s="76">
        <f>H233</f>
        <v>1042</v>
      </c>
      <c r="O233" s="76">
        <f t="shared" ref="O233:O236" si="323">H233-N233</f>
        <v>0</v>
      </c>
      <c r="P233" s="78">
        <f t="shared" si="299"/>
        <v>1</v>
      </c>
      <c r="Q233" s="149"/>
      <c r="R233" s="149"/>
      <c r="S233" s="373"/>
    </row>
    <row r="234" spans="1:19" s="28" customFormat="1" ht="30.75" customHeight="1" x14ac:dyDescent="0.35">
      <c r="A234" s="74"/>
      <c r="B234" s="75" t="s">
        <v>19</v>
      </c>
      <c r="C234" s="75"/>
      <c r="D234" s="76"/>
      <c r="E234" s="76"/>
      <c r="F234" s="76"/>
      <c r="G234" s="76">
        <v>183.88</v>
      </c>
      <c r="H234" s="76">
        <v>183.88</v>
      </c>
      <c r="I234" s="76"/>
      <c r="J234" s="77">
        <f t="shared" si="321"/>
        <v>0</v>
      </c>
      <c r="K234" s="76"/>
      <c r="L234" s="39">
        <f t="shared" si="322"/>
        <v>0</v>
      </c>
      <c r="M234" s="39" t="e">
        <f t="shared" si="315"/>
        <v>#DIV/0!</v>
      </c>
      <c r="N234" s="76">
        <f>H234</f>
        <v>183.88</v>
      </c>
      <c r="O234" s="76">
        <f t="shared" si="323"/>
        <v>0</v>
      </c>
      <c r="P234" s="78">
        <f t="shared" si="299"/>
        <v>1</v>
      </c>
      <c r="Q234" s="149"/>
      <c r="R234" s="149"/>
      <c r="S234" s="373"/>
    </row>
    <row r="235" spans="1:19" s="28" customFormat="1" ht="30.75" customHeight="1" x14ac:dyDescent="0.35">
      <c r="A235" s="74"/>
      <c r="B235" s="75" t="s">
        <v>22</v>
      </c>
      <c r="C235" s="75"/>
      <c r="D235" s="76"/>
      <c r="E235" s="76"/>
      <c r="F235" s="76"/>
      <c r="G235" s="76"/>
      <c r="H235" s="76"/>
      <c r="I235" s="76"/>
      <c r="J235" s="38" t="e">
        <f t="shared" si="321"/>
        <v>#DIV/0!</v>
      </c>
      <c r="K235" s="37"/>
      <c r="L235" s="39" t="e">
        <f t="shared" si="322"/>
        <v>#DIV/0!</v>
      </c>
      <c r="M235" s="39" t="e">
        <f t="shared" si="315"/>
        <v>#DIV/0!</v>
      </c>
      <c r="N235" s="37"/>
      <c r="O235" s="37">
        <f t="shared" si="323"/>
        <v>0</v>
      </c>
      <c r="P235" s="39" t="e">
        <f t="shared" si="299"/>
        <v>#DIV/0!</v>
      </c>
      <c r="Q235" s="149"/>
      <c r="R235" s="149"/>
      <c r="S235" s="373"/>
    </row>
    <row r="236" spans="1:19" s="28" customFormat="1" ht="30.75" customHeight="1" x14ac:dyDescent="0.35">
      <c r="A236" s="188"/>
      <c r="B236" s="75" t="s">
        <v>11</v>
      </c>
      <c r="C236" s="75"/>
      <c r="D236" s="76"/>
      <c r="E236" s="76"/>
      <c r="F236" s="76"/>
      <c r="G236" s="76"/>
      <c r="H236" s="79"/>
      <c r="I236" s="76"/>
      <c r="J236" s="38" t="e">
        <f t="shared" si="321"/>
        <v>#DIV/0!</v>
      </c>
      <c r="K236" s="37"/>
      <c r="L236" s="39" t="e">
        <f t="shared" si="322"/>
        <v>#DIV/0!</v>
      </c>
      <c r="M236" s="39" t="e">
        <f t="shared" si="315"/>
        <v>#DIV/0!</v>
      </c>
      <c r="N236" s="37"/>
      <c r="O236" s="37">
        <f t="shared" si="323"/>
        <v>0</v>
      </c>
      <c r="P236" s="39" t="e">
        <f t="shared" si="299"/>
        <v>#DIV/0!</v>
      </c>
      <c r="Q236" s="84"/>
      <c r="R236" s="84"/>
      <c r="S236" s="374"/>
    </row>
    <row r="237" spans="1:19" s="28" customFormat="1" ht="46.5" x14ac:dyDescent="0.35">
      <c r="A237" s="67" t="s">
        <v>124</v>
      </c>
      <c r="B237" s="69" t="s">
        <v>185</v>
      </c>
      <c r="C237" s="69" t="s">
        <v>17</v>
      </c>
      <c r="D237" s="70">
        <f t="shared" ref="D237:I237" si="324">SUM(D238:D242)</f>
        <v>0</v>
      </c>
      <c r="E237" s="70">
        <f t="shared" si="324"/>
        <v>0</v>
      </c>
      <c r="F237" s="70">
        <f t="shared" si="324"/>
        <v>0</v>
      </c>
      <c r="G237" s="70">
        <f>SUM(G238:G242)</f>
        <v>168775.8</v>
      </c>
      <c r="H237" s="70">
        <f t="shared" si="324"/>
        <v>168775.8</v>
      </c>
      <c r="I237" s="70">
        <f t="shared" si="324"/>
        <v>61600.67</v>
      </c>
      <c r="J237" s="204">
        <f>I237/H237</f>
        <v>0.36499999999999999</v>
      </c>
      <c r="K237" s="70">
        <f>SUM(K238:K242)</f>
        <v>61600.67</v>
      </c>
      <c r="L237" s="184">
        <f>K237/H237</f>
        <v>0.36499999999999999</v>
      </c>
      <c r="M237" s="73">
        <f t="shared" si="315"/>
        <v>1</v>
      </c>
      <c r="N237" s="70">
        <f>SUM(N238:N242)</f>
        <v>164934.13</v>
      </c>
      <c r="O237" s="70">
        <f>H237-N237</f>
        <v>3841.67</v>
      </c>
      <c r="P237" s="73">
        <f t="shared" si="299"/>
        <v>0.98</v>
      </c>
      <c r="Q237" s="165"/>
      <c r="R237" s="165"/>
      <c r="S237" s="174"/>
    </row>
    <row r="238" spans="1:19" s="28" customFormat="1" ht="38.25" customHeight="1" x14ac:dyDescent="0.35">
      <c r="A238" s="74"/>
      <c r="B238" s="75" t="s">
        <v>10</v>
      </c>
      <c r="C238" s="75"/>
      <c r="D238" s="76"/>
      <c r="E238" s="76"/>
      <c r="F238" s="76"/>
      <c r="G238" s="76">
        <f>G244</f>
        <v>0</v>
      </c>
      <c r="H238" s="76">
        <f t="shared" ref="H238:I238" si="325">H244</f>
        <v>0</v>
      </c>
      <c r="I238" s="76">
        <f t="shared" si="325"/>
        <v>0</v>
      </c>
      <c r="J238" s="77"/>
      <c r="K238" s="76">
        <f t="shared" ref="K238:K242" si="326">K244</f>
        <v>0</v>
      </c>
      <c r="L238" s="78"/>
      <c r="M238" s="78"/>
      <c r="N238" s="76">
        <f t="shared" ref="N238:N242" si="327">N244</f>
        <v>0</v>
      </c>
      <c r="O238" s="76">
        <f>H238-N238</f>
        <v>0</v>
      </c>
      <c r="P238" s="78"/>
      <c r="Q238" s="149"/>
      <c r="R238" s="149"/>
      <c r="S238" s="194"/>
    </row>
    <row r="239" spans="1:19" s="28" customFormat="1" ht="38.25" customHeight="1" x14ac:dyDescent="0.35">
      <c r="A239" s="74"/>
      <c r="B239" s="75" t="s">
        <v>8</v>
      </c>
      <c r="C239" s="75"/>
      <c r="D239" s="76"/>
      <c r="E239" s="76"/>
      <c r="F239" s="76"/>
      <c r="G239" s="76">
        <f t="shared" ref="G239:I242" si="328">G245</f>
        <v>160337</v>
      </c>
      <c r="H239" s="76">
        <f t="shared" si="328"/>
        <v>160337</v>
      </c>
      <c r="I239" s="76">
        <f t="shared" si="328"/>
        <v>58127.31</v>
      </c>
      <c r="J239" s="77">
        <f t="shared" ref="J239:J241" si="329">I239/H239</f>
        <v>0.36</v>
      </c>
      <c r="K239" s="76">
        <f t="shared" si="326"/>
        <v>58127.31</v>
      </c>
      <c r="L239" s="78">
        <f t="shared" ref="L239:L240" si="330">K239/H239</f>
        <v>0.36</v>
      </c>
      <c r="M239" s="78">
        <f t="shared" ref="M239:M240" si="331">K239/I239</f>
        <v>1</v>
      </c>
      <c r="N239" s="76">
        <f t="shared" si="327"/>
        <v>156687.42000000001</v>
      </c>
      <c r="O239" s="76">
        <f t="shared" ref="O239:O242" si="332">H239-N239</f>
        <v>3649.58</v>
      </c>
      <c r="P239" s="78">
        <f t="shared" ref="P239:P241" si="333">N239/H239</f>
        <v>0.98</v>
      </c>
      <c r="Q239" s="149"/>
      <c r="R239" s="149"/>
      <c r="S239" s="194"/>
    </row>
    <row r="240" spans="1:19" s="28" customFormat="1" ht="38.25" customHeight="1" x14ac:dyDescent="0.35">
      <c r="A240" s="74"/>
      <c r="B240" s="75" t="s">
        <v>19</v>
      </c>
      <c r="C240" s="75"/>
      <c r="D240" s="76"/>
      <c r="E240" s="76"/>
      <c r="F240" s="76"/>
      <c r="G240" s="76">
        <f t="shared" si="328"/>
        <v>8438.7999999999993</v>
      </c>
      <c r="H240" s="76">
        <f t="shared" si="328"/>
        <v>8438.7999999999993</v>
      </c>
      <c r="I240" s="76">
        <f t="shared" si="328"/>
        <v>3473.36</v>
      </c>
      <c r="J240" s="77">
        <f t="shared" si="329"/>
        <v>0.41</v>
      </c>
      <c r="K240" s="76">
        <f t="shared" si="326"/>
        <v>3473.36</v>
      </c>
      <c r="L240" s="78">
        <f t="shared" si="330"/>
        <v>0.41</v>
      </c>
      <c r="M240" s="78">
        <f t="shared" si="331"/>
        <v>1</v>
      </c>
      <c r="N240" s="76">
        <f t="shared" si="327"/>
        <v>8246.7099999999991</v>
      </c>
      <c r="O240" s="76">
        <f t="shared" si="332"/>
        <v>192.09</v>
      </c>
      <c r="P240" s="78">
        <f t="shared" si="333"/>
        <v>0.98</v>
      </c>
      <c r="Q240" s="149"/>
      <c r="R240" s="149"/>
      <c r="S240" s="194"/>
    </row>
    <row r="241" spans="1:19" s="28" customFormat="1" ht="38.25" customHeight="1" x14ac:dyDescent="0.35">
      <c r="A241" s="74"/>
      <c r="B241" s="75" t="s">
        <v>22</v>
      </c>
      <c r="C241" s="75"/>
      <c r="D241" s="76"/>
      <c r="E241" s="76"/>
      <c r="F241" s="76"/>
      <c r="G241" s="76">
        <f t="shared" si="328"/>
        <v>0</v>
      </c>
      <c r="H241" s="76">
        <f t="shared" si="328"/>
        <v>0</v>
      </c>
      <c r="I241" s="76">
        <f t="shared" si="328"/>
        <v>0</v>
      </c>
      <c r="J241" s="38" t="e">
        <f t="shared" si="329"/>
        <v>#DIV/0!</v>
      </c>
      <c r="K241" s="37">
        <f t="shared" si="326"/>
        <v>0</v>
      </c>
      <c r="L241" s="39" t="e">
        <f t="shared" ref="L241" si="334">K241/H241</f>
        <v>#DIV/0!</v>
      </c>
      <c r="M241" s="39" t="e">
        <f t="shared" ref="M241" si="335">K241/I241</f>
        <v>#DIV/0!</v>
      </c>
      <c r="N241" s="37">
        <f t="shared" si="327"/>
        <v>0</v>
      </c>
      <c r="O241" s="37">
        <f t="shared" si="332"/>
        <v>0</v>
      </c>
      <c r="P241" s="39" t="e">
        <f t="shared" si="333"/>
        <v>#DIV/0!</v>
      </c>
      <c r="Q241" s="149"/>
      <c r="R241" s="149"/>
      <c r="S241" s="194"/>
    </row>
    <row r="242" spans="1:19" s="28" customFormat="1" ht="38.25" customHeight="1" x14ac:dyDescent="0.35">
      <c r="A242" s="188"/>
      <c r="B242" s="75" t="s">
        <v>11</v>
      </c>
      <c r="C242" s="75"/>
      <c r="D242" s="76"/>
      <c r="E242" s="76"/>
      <c r="F242" s="76"/>
      <c r="G242" s="76">
        <f t="shared" si="328"/>
        <v>0</v>
      </c>
      <c r="H242" s="76">
        <f t="shared" si="328"/>
        <v>0</v>
      </c>
      <c r="I242" s="76">
        <f t="shared" si="328"/>
        <v>0</v>
      </c>
      <c r="J242" s="77"/>
      <c r="K242" s="76">
        <f t="shared" si="326"/>
        <v>0</v>
      </c>
      <c r="L242" s="78"/>
      <c r="M242" s="78"/>
      <c r="N242" s="76">
        <f t="shared" si="327"/>
        <v>0</v>
      </c>
      <c r="O242" s="76">
        <f t="shared" si="332"/>
        <v>0</v>
      </c>
      <c r="P242" s="78"/>
      <c r="Q242" s="84"/>
      <c r="R242" s="84"/>
      <c r="S242" s="195"/>
    </row>
    <row r="243" spans="1:19" s="28" customFormat="1" ht="125.25" customHeight="1" x14ac:dyDescent="0.35">
      <c r="A243" s="67" t="s">
        <v>215</v>
      </c>
      <c r="B243" s="69" t="s">
        <v>61</v>
      </c>
      <c r="C243" s="69" t="s">
        <v>17</v>
      </c>
      <c r="D243" s="70">
        <f t="shared" ref="D243:I243" si="336">SUM(D244:D248)</f>
        <v>0</v>
      </c>
      <c r="E243" s="70">
        <f t="shared" si="336"/>
        <v>0</v>
      </c>
      <c r="F243" s="70">
        <f t="shared" si="336"/>
        <v>0</v>
      </c>
      <c r="G243" s="70">
        <f t="shared" si="336"/>
        <v>168775.8</v>
      </c>
      <c r="H243" s="70">
        <f>SUM(H244:H248)</f>
        <v>168775.8</v>
      </c>
      <c r="I243" s="70">
        <f t="shared" si="336"/>
        <v>61600.67</v>
      </c>
      <c r="J243" s="221">
        <f>I243/H243</f>
        <v>0.36499999999999999</v>
      </c>
      <c r="K243" s="70">
        <f>SUM(K244:K248)</f>
        <v>61600.67</v>
      </c>
      <c r="L243" s="189">
        <f>K243/H243</f>
        <v>0.36499999999999999</v>
      </c>
      <c r="M243" s="73">
        <f t="shared" ref="M243:M254" si="337">K243/I243</f>
        <v>1</v>
      </c>
      <c r="N243" s="70">
        <f>SUM(N244:N248)</f>
        <v>164934.13</v>
      </c>
      <c r="O243" s="70">
        <f>H243-N243</f>
        <v>3841.67</v>
      </c>
      <c r="P243" s="73">
        <f t="shared" ref="P243:P247" si="338">N243/H243</f>
        <v>0.98</v>
      </c>
      <c r="Q243" s="165"/>
      <c r="R243" s="165"/>
      <c r="S243" s="372" t="s">
        <v>520</v>
      </c>
    </row>
    <row r="244" spans="1:19" s="28" customFormat="1" ht="69.75" customHeight="1" x14ac:dyDescent="0.35">
      <c r="A244" s="74"/>
      <c r="B244" s="75" t="s">
        <v>10</v>
      </c>
      <c r="C244" s="75"/>
      <c r="D244" s="76"/>
      <c r="E244" s="76"/>
      <c r="F244" s="76"/>
      <c r="G244" s="76"/>
      <c r="H244" s="79"/>
      <c r="I244" s="76"/>
      <c r="J244" s="77"/>
      <c r="K244" s="76"/>
      <c r="L244" s="78"/>
      <c r="M244" s="39" t="e">
        <f t="shared" si="337"/>
        <v>#DIV/0!</v>
      </c>
      <c r="N244" s="76"/>
      <c r="O244" s="76">
        <f>H244-N244</f>
        <v>0</v>
      </c>
      <c r="P244" s="78"/>
      <c r="Q244" s="149"/>
      <c r="R244" s="149"/>
      <c r="S244" s="373"/>
    </row>
    <row r="245" spans="1:19" s="28" customFormat="1" ht="69.75" customHeight="1" x14ac:dyDescent="0.35">
      <c r="A245" s="74"/>
      <c r="B245" s="75" t="s">
        <v>8</v>
      </c>
      <c r="C245" s="75"/>
      <c r="D245" s="76"/>
      <c r="E245" s="76"/>
      <c r="F245" s="76"/>
      <c r="G245" s="76">
        <v>160337</v>
      </c>
      <c r="H245" s="76">
        <v>160337</v>
      </c>
      <c r="I245" s="76">
        <f>K245</f>
        <v>58127.31</v>
      </c>
      <c r="J245" s="77">
        <f t="shared" ref="J245:J247" si="339">I245/H245</f>
        <v>0.36</v>
      </c>
      <c r="K245" s="76">
        <v>58127.31</v>
      </c>
      <c r="L245" s="78">
        <f t="shared" ref="L245:L247" si="340">K245/H245</f>
        <v>0.36</v>
      </c>
      <c r="M245" s="78">
        <f t="shared" si="337"/>
        <v>1</v>
      </c>
      <c r="N245" s="76">
        <v>156687.42000000001</v>
      </c>
      <c r="O245" s="76">
        <f t="shared" ref="O245:O254" si="341">H245-N245</f>
        <v>3649.58</v>
      </c>
      <c r="P245" s="78">
        <f t="shared" si="338"/>
        <v>0.98</v>
      </c>
      <c r="Q245" s="149"/>
      <c r="R245" s="149"/>
      <c r="S245" s="373"/>
    </row>
    <row r="246" spans="1:19" s="28" customFormat="1" ht="69.75" customHeight="1" x14ac:dyDescent="0.35">
      <c r="A246" s="74"/>
      <c r="B246" s="75" t="s">
        <v>19</v>
      </c>
      <c r="C246" s="75"/>
      <c r="D246" s="76"/>
      <c r="E246" s="76"/>
      <c r="F246" s="76"/>
      <c r="G246" s="76">
        <v>8438.7999999999993</v>
      </c>
      <c r="H246" s="76">
        <v>8438.7999999999993</v>
      </c>
      <c r="I246" s="76">
        <f>K246</f>
        <v>3473.36</v>
      </c>
      <c r="J246" s="77">
        <f t="shared" si="339"/>
        <v>0.41</v>
      </c>
      <c r="K246" s="76">
        <v>3473.36</v>
      </c>
      <c r="L246" s="78">
        <f t="shared" si="340"/>
        <v>0.41</v>
      </c>
      <c r="M246" s="78">
        <f t="shared" si="337"/>
        <v>1</v>
      </c>
      <c r="N246" s="76">
        <v>8246.7099999999991</v>
      </c>
      <c r="O246" s="76">
        <f t="shared" si="341"/>
        <v>192.09</v>
      </c>
      <c r="P246" s="78">
        <f t="shared" si="338"/>
        <v>0.98</v>
      </c>
      <c r="Q246" s="149"/>
      <c r="R246" s="149"/>
      <c r="S246" s="373"/>
    </row>
    <row r="247" spans="1:19" s="28" customFormat="1" ht="69.75" customHeight="1" x14ac:dyDescent="0.35">
      <c r="A247" s="74"/>
      <c r="B247" s="75" t="s">
        <v>22</v>
      </c>
      <c r="C247" s="75"/>
      <c r="D247" s="76"/>
      <c r="E247" s="76"/>
      <c r="F247" s="76"/>
      <c r="G247" s="76"/>
      <c r="H247" s="76"/>
      <c r="I247" s="76"/>
      <c r="J247" s="38" t="e">
        <f t="shared" si="339"/>
        <v>#DIV/0!</v>
      </c>
      <c r="K247" s="37"/>
      <c r="L247" s="39" t="e">
        <f t="shared" si="340"/>
        <v>#DIV/0!</v>
      </c>
      <c r="M247" s="39" t="e">
        <f t="shared" si="337"/>
        <v>#DIV/0!</v>
      </c>
      <c r="N247" s="37"/>
      <c r="O247" s="37">
        <f t="shared" si="341"/>
        <v>0</v>
      </c>
      <c r="P247" s="39" t="e">
        <f t="shared" si="338"/>
        <v>#DIV/0!</v>
      </c>
      <c r="Q247" s="149"/>
      <c r="R247" s="149"/>
      <c r="S247" s="373"/>
    </row>
    <row r="248" spans="1:19" s="28" customFormat="1" ht="69.75" customHeight="1" x14ac:dyDescent="0.35">
      <c r="A248" s="188"/>
      <c r="B248" s="75" t="s">
        <v>11</v>
      </c>
      <c r="C248" s="75"/>
      <c r="D248" s="76"/>
      <c r="E248" s="76"/>
      <c r="F248" s="76"/>
      <c r="G248" s="76"/>
      <c r="H248" s="79"/>
      <c r="I248" s="76"/>
      <c r="J248" s="38"/>
      <c r="K248" s="37"/>
      <c r="L248" s="39"/>
      <c r="M248" s="39" t="e">
        <f t="shared" si="337"/>
        <v>#DIV/0!</v>
      </c>
      <c r="N248" s="37"/>
      <c r="O248" s="37">
        <f t="shared" si="341"/>
        <v>0</v>
      </c>
      <c r="P248" s="39"/>
      <c r="Q248" s="84"/>
      <c r="R248" s="84"/>
      <c r="S248" s="374"/>
    </row>
    <row r="249" spans="1:19" s="28" customFormat="1" ht="69.75" x14ac:dyDescent="0.35">
      <c r="A249" s="67" t="s">
        <v>125</v>
      </c>
      <c r="B249" s="75" t="s">
        <v>231</v>
      </c>
      <c r="C249" s="69" t="s">
        <v>17</v>
      </c>
      <c r="D249" s="70">
        <f t="shared" ref="D249:I249" si="342">SUM(D250:D254)</f>
        <v>0</v>
      </c>
      <c r="E249" s="70">
        <f t="shared" si="342"/>
        <v>0</v>
      </c>
      <c r="F249" s="70">
        <f t="shared" si="342"/>
        <v>0</v>
      </c>
      <c r="G249" s="70">
        <f t="shared" si="342"/>
        <v>189.9</v>
      </c>
      <c r="H249" s="70">
        <f t="shared" si="342"/>
        <v>189.9</v>
      </c>
      <c r="I249" s="70">
        <f t="shared" si="342"/>
        <v>90</v>
      </c>
      <c r="J249" s="72">
        <f>I249/H249</f>
        <v>0.47</v>
      </c>
      <c r="K249" s="70">
        <f>SUM(K250:K254)</f>
        <v>56.94</v>
      </c>
      <c r="L249" s="73">
        <f>K249/H249</f>
        <v>0.3</v>
      </c>
      <c r="M249" s="73">
        <f t="shared" si="337"/>
        <v>0.63</v>
      </c>
      <c r="N249" s="70">
        <f>SUM(N250:N254)</f>
        <v>189.9</v>
      </c>
      <c r="O249" s="70">
        <f t="shared" si="341"/>
        <v>0</v>
      </c>
      <c r="P249" s="73">
        <f t="shared" ref="P249:P254" si="343">N249/H249</f>
        <v>1</v>
      </c>
      <c r="Q249" s="70">
        <f t="shared" ref="Q249:Q254" si="344">H249-K249</f>
        <v>132.96</v>
      </c>
      <c r="R249" s="70">
        <f t="shared" ref="R249:R254" si="345">I249-K249</f>
        <v>33.06</v>
      </c>
      <c r="S249" s="372" t="s">
        <v>232</v>
      </c>
    </row>
    <row r="250" spans="1:19" s="28" customFormat="1" x14ac:dyDescent="0.35">
      <c r="A250" s="74"/>
      <c r="B250" s="75" t="s">
        <v>10</v>
      </c>
      <c r="C250" s="75"/>
      <c r="D250" s="76"/>
      <c r="E250" s="76"/>
      <c r="F250" s="76"/>
      <c r="G250" s="76"/>
      <c r="H250" s="79"/>
      <c r="I250" s="76"/>
      <c r="J250" s="38" t="e">
        <f t="shared" ref="J250:J254" si="346">I250/H250</f>
        <v>#DIV/0!</v>
      </c>
      <c r="K250" s="37"/>
      <c r="L250" s="39" t="e">
        <f t="shared" ref="L250:L254" si="347">K250/H250</f>
        <v>#DIV/0!</v>
      </c>
      <c r="M250" s="39" t="e">
        <f t="shared" si="337"/>
        <v>#DIV/0!</v>
      </c>
      <c r="N250" s="37"/>
      <c r="O250" s="60">
        <f t="shared" si="341"/>
        <v>0</v>
      </c>
      <c r="P250" s="39" t="e">
        <f t="shared" si="343"/>
        <v>#DIV/0!</v>
      </c>
      <c r="Q250" s="76">
        <f t="shared" si="344"/>
        <v>0</v>
      </c>
      <c r="R250" s="79">
        <f t="shared" si="345"/>
        <v>0</v>
      </c>
      <c r="S250" s="373"/>
    </row>
    <row r="251" spans="1:19" s="28" customFormat="1" x14ac:dyDescent="0.35">
      <c r="A251" s="74"/>
      <c r="B251" s="75" t="s">
        <v>8</v>
      </c>
      <c r="C251" s="75"/>
      <c r="D251" s="76"/>
      <c r="E251" s="76"/>
      <c r="F251" s="76"/>
      <c r="G251" s="76">
        <v>189.9</v>
      </c>
      <c r="H251" s="76">
        <v>189.9</v>
      </c>
      <c r="I251" s="76">
        <v>90</v>
      </c>
      <c r="J251" s="77">
        <f t="shared" si="346"/>
        <v>0.47</v>
      </c>
      <c r="K251" s="76">
        <v>56.94</v>
      </c>
      <c r="L251" s="78">
        <f t="shared" si="347"/>
        <v>0.3</v>
      </c>
      <c r="M251" s="78">
        <f t="shared" si="337"/>
        <v>0.63</v>
      </c>
      <c r="N251" s="76">
        <f>H251</f>
        <v>189.9</v>
      </c>
      <c r="O251" s="76">
        <f t="shared" si="341"/>
        <v>0</v>
      </c>
      <c r="P251" s="78">
        <f t="shared" si="343"/>
        <v>1</v>
      </c>
      <c r="Q251" s="76">
        <f t="shared" si="344"/>
        <v>132.96</v>
      </c>
      <c r="R251" s="76">
        <f t="shared" si="345"/>
        <v>33.06</v>
      </c>
      <c r="S251" s="373"/>
    </row>
    <row r="252" spans="1:19" s="28" customFormat="1" x14ac:dyDescent="0.35">
      <c r="A252" s="74"/>
      <c r="B252" s="75" t="s">
        <v>19</v>
      </c>
      <c r="C252" s="75"/>
      <c r="D252" s="76"/>
      <c r="E252" s="76"/>
      <c r="F252" s="76"/>
      <c r="G252" s="76"/>
      <c r="H252" s="76"/>
      <c r="I252" s="76"/>
      <c r="J252" s="38" t="e">
        <f t="shared" si="346"/>
        <v>#DIV/0!</v>
      </c>
      <c r="K252" s="37"/>
      <c r="L252" s="39" t="e">
        <f t="shared" si="347"/>
        <v>#DIV/0!</v>
      </c>
      <c r="M252" s="39" t="e">
        <f t="shared" si="337"/>
        <v>#DIV/0!</v>
      </c>
      <c r="N252" s="37"/>
      <c r="O252" s="37">
        <f t="shared" si="341"/>
        <v>0</v>
      </c>
      <c r="P252" s="39" t="e">
        <f t="shared" si="343"/>
        <v>#DIV/0!</v>
      </c>
      <c r="Q252" s="76">
        <f t="shared" si="344"/>
        <v>0</v>
      </c>
      <c r="R252" s="76">
        <f t="shared" si="345"/>
        <v>0</v>
      </c>
      <c r="S252" s="373"/>
    </row>
    <row r="253" spans="1:19" s="28" customFormat="1" x14ac:dyDescent="0.35">
      <c r="A253" s="74"/>
      <c r="B253" s="75" t="s">
        <v>22</v>
      </c>
      <c r="C253" s="75"/>
      <c r="D253" s="76"/>
      <c r="E253" s="76"/>
      <c r="F253" s="76"/>
      <c r="G253" s="76"/>
      <c r="H253" s="76"/>
      <c r="I253" s="76"/>
      <c r="J253" s="38" t="e">
        <f t="shared" si="346"/>
        <v>#DIV/0!</v>
      </c>
      <c r="K253" s="37"/>
      <c r="L253" s="39" t="e">
        <f t="shared" si="347"/>
        <v>#DIV/0!</v>
      </c>
      <c r="M253" s="39" t="e">
        <f t="shared" si="337"/>
        <v>#DIV/0!</v>
      </c>
      <c r="N253" s="37"/>
      <c r="O253" s="37">
        <f t="shared" si="341"/>
        <v>0</v>
      </c>
      <c r="P253" s="39" t="e">
        <f t="shared" si="343"/>
        <v>#DIV/0!</v>
      </c>
      <c r="Q253" s="76">
        <f t="shared" si="344"/>
        <v>0</v>
      </c>
      <c r="R253" s="76">
        <f t="shared" si="345"/>
        <v>0</v>
      </c>
      <c r="S253" s="373"/>
    </row>
    <row r="254" spans="1:19" s="28" customFormat="1" x14ac:dyDescent="0.35">
      <c r="A254" s="188"/>
      <c r="B254" s="75" t="s">
        <v>11</v>
      </c>
      <c r="C254" s="75"/>
      <c r="D254" s="76"/>
      <c r="E254" s="76"/>
      <c r="F254" s="76"/>
      <c r="G254" s="76"/>
      <c r="H254" s="79"/>
      <c r="I254" s="76"/>
      <c r="J254" s="38" t="e">
        <f t="shared" si="346"/>
        <v>#DIV/0!</v>
      </c>
      <c r="K254" s="37"/>
      <c r="L254" s="39" t="e">
        <f t="shared" si="347"/>
        <v>#DIV/0!</v>
      </c>
      <c r="M254" s="39" t="e">
        <f t="shared" si="337"/>
        <v>#DIV/0!</v>
      </c>
      <c r="N254" s="37"/>
      <c r="O254" s="60">
        <f t="shared" si="341"/>
        <v>0</v>
      </c>
      <c r="P254" s="39" t="e">
        <f t="shared" si="343"/>
        <v>#DIV/0!</v>
      </c>
      <c r="Q254" s="76">
        <f t="shared" si="344"/>
        <v>0</v>
      </c>
      <c r="R254" s="79">
        <f t="shared" si="345"/>
        <v>0</v>
      </c>
      <c r="S254" s="374"/>
    </row>
    <row r="255" spans="1:19" s="183" customFormat="1" ht="59.25" customHeight="1" x14ac:dyDescent="0.35">
      <c r="A255" s="152" t="s">
        <v>126</v>
      </c>
      <c r="B255" s="154" t="s">
        <v>374</v>
      </c>
      <c r="C255" s="154" t="s">
        <v>2</v>
      </c>
      <c r="D255" s="155" t="e">
        <f t="shared" ref="D255" si="348">SUM(D256:D260)</f>
        <v>#REF!</v>
      </c>
      <c r="E255" s="155" t="e">
        <f>SUM(E256:E260)</f>
        <v>#REF!</v>
      </c>
      <c r="F255" s="155" t="e">
        <f>SUM(F256:F260)</f>
        <v>#REF!</v>
      </c>
      <c r="G255" s="155">
        <f>SUM(G256:G260)</f>
        <v>1000</v>
      </c>
      <c r="H255" s="155">
        <f t="shared" ref="H255:I255" si="349">SUM(H256:H260)</f>
        <v>1000</v>
      </c>
      <c r="I255" s="155">
        <f t="shared" si="349"/>
        <v>1000</v>
      </c>
      <c r="J255" s="202">
        <f>I255/H255</f>
        <v>1</v>
      </c>
      <c r="K255" s="155">
        <f>SUM(K256:K260)</f>
        <v>500</v>
      </c>
      <c r="L255" s="222">
        <f t="shared" ref="L255:L257" si="350">K255/H255</f>
        <v>0.5</v>
      </c>
      <c r="M255" s="156">
        <f>K255/I255</f>
        <v>0.5</v>
      </c>
      <c r="N255" s="155">
        <f t="shared" ref="N255" si="351">SUM(N256:N260)</f>
        <v>1000</v>
      </c>
      <c r="O255" s="155">
        <f>H255-N255</f>
        <v>0</v>
      </c>
      <c r="P255" s="182">
        <f t="shared" ref="P255:P273" si="352">N255/H255</f>
        <v>1</v>
      </c>
      <c r="Q255" s="173"/>
      <c r="R255" s="173"/>
      <c r="S255" s="372"/>
    </row>
    <row r="256" spans="1:19" s="28" customFormat="1" ht="30.75" customHeight="1" x14ac:dyDescent="0.35">
      <c r="A256" s="74"/>
      <c r="B256" s="75" t="s">
        <v>10</v>
      </c>
      <c r="C256" s="75"/>
      <c r="D256" s="76">
        <f>D286</f>
        <v>0</v>
      </c>
      <c r="E256" s="76">
        <f t="shared" ref="E256:F256" si="353">E286</f>
        <v>0</v>
      </c>
      <c r="F256" s="76">
        <f t="shared" si="353"/>
        <v>0</v>
      </c>
      <c r="G256" s="76"/>
      <c r="H256" s="76"/>
      <c r="I256" s="76"/>
      <c r="J256" s="47" t="e">
        <f t="shared" ref="J256:J257" si="354">I256/H256</f>
        <v>#DIV/0!</v>
      </c>
      <c r="K256" s="37"/>
      <c r="L256" s="39" t="e">
        <f t="shared" si="350"/>
        <v>#DIV/0!</v>
      </c>
      <c r="M256" s="39" t="e">
        <f t="shared" ref="M256:M257" si="355">K256/I256</f>
        <v>#DIV/0!</v>
      </c>
      <c r="N256" s="37"/>
      <c r="O256" s="37">
        <f>H256-N256</f>
        <v>0</v>
      </c>
      <c r="P256" s="39" t="e">
        <f t="shared" si="352"/>
        <v>#DIV/0!</v>
      </c>
      <c r="Q256" s="149"/>
      <c r="R256" s="149"/>
      <c r="S256" s="373"/>
    </row>
    <row r="257" spans="1:19" s="28" customFormat="1" ht="30.75" customHeight="1" x14ac:dyDescent="0.35">
      <c r="A257" s="74"/>
      <c r="B257" s="75" t="s">
        <v>8</v>
      </c>
      <c r="C257" s="75"/>
      <c r="D257" s="76">
        <f t="shared" ref="D257:F257" si="356">D287</f>
        <v>0</v>
      </c>
      <c r="E257" s="76">
        <f t="shared" si="356"/>
        <v>0</v>
      </c>
      <c r="F257" s="76">
        <f t="shared" si="356"/>
        <v>0</v>
      </c>
      <c r="G257" s="76">
        <f>G263</f>
        <v>1000</v>
      </c>
      <c r="H257" s="76">
        <f>H263</f>
        <v>1000</v>
      </c>
      <c r="I257" s="76">
        <f>I263</f>
        <v>1000</v>
      </c>
      <c r="J257" s="204">
        <f t="shared" si="354"/>
        <v>1</v>
      </c>
      <c r="K257" s="76">
        <f>K263</f>
        <v>500</v>
      </c>
      <c r="L257" s="78">
        <f t="shared" si="350"/>
        <v>0.5</v>
      </c>
      <c r="M257" s="78">
        <f t="shared" si="355"/>
        <v>0.5</v>
      </c>
      <c r="N257" s="76">
        <f>N263</f>
        <v>1000</v>
      </c>
      <c r="O257" s="76">
        <f t="shared" ref="O257:O260" si="357">H257-N257</f>
        <v>0</v>
      </c>
      <c r="P257" s="78">
        <f t="shared" si="352"/>
        <v>1</v>
      </c>
      <c r="Q257" s="149"/>
      <c r="R257" s="149"/>
      <c r="S257" s="373"/>
    </row>
    <row r="258" spans="1:19" s="28" customFormat="1" ht="30.75" customHeight="1" x14ac:dyDescent="0.35">
      <c r="A258" s="74"/>
      <c r="B258" s="75" t="s">
        <v>19</v>
      </c>
      <c r="C258" s="75"/>
      <c r="D258" s="76">
        <f t="shared" ref="D258:F258" si="358">D288</f>
        <v>0</v>
      </c>
      <c r="E258" s="76">
        <f t="shared" si="358"/>
        <v>0</v>
      </c>
      <c r="F258" s="76">
        <f t="shared" si="358"/>
        <v>0</v>
      </c>
      <c r="G258" s="76"/>
      <c r="H258" s="76"/>
      <c r="I258" s="76"/>
      <c r="J258" s="47" t="e">
        <f t="shared" ref="J258:J269" si="359">I258/H258</f>
        <v>#DIV/0!</v>
      </c>
      <c r="K258" s="37"/>
      <c r="L258" s="39" t="e">
        <f t="shared" ref="L258:L269" si="360">K258/H258</f>
        <v>#DIV/0!</v>
      </c>
      <c r="M258" s="39" t="e">
        <f t="shared" ref="M258:M269" si="361">K258/I258</f>
        <v>#DIV/0!</v>
      </c>
      <c r="N258" s="37"/>
      <c r="O258" s="37">
        <f t="shared" si="357"/>
        <v>0</v>
      </c>
      <c r="P258" s="39" t="e">
        <f t="shared" si="352"/>
        <v>#DIV/0!</v>
      </c>
      <c r="Q258" s="149"/>
      <c r="R258" s="149"/>
      <c r="S258" s="373"/>
    </row>
    <row r="259" spans="1:19" s="28" customFormat="1" ht="30.75" customHeight="1" x14ac:dyDescent="0.35">
      <c r="A259" s="74"/>
      <c r="B259" s="75" t="s">
        <v>22</v>
      </c>
      <c r="C259" s="75"/>
      <c r="D259" s="76">
        <f t="shared" ref="D259:F259" si="362">D289</f>
        <v>0</v>
      </c>
      <c r="E259" s="76">
        <f t="shared" si="362"/>
        <v>0</v>
      </c>
      <c r="F259" s="76">
        <f t="shared" si="362"/>
        <v>0</v>
      </c>
      <c r="G259" s="76"/>
      <c r="H259" s="76"/>
      <c r="I259" s="76"/>
      <c r="J259" s="47" t="e">
        <f t="shared" si="359"/>
        <v>#DIV/0!</v>
      </c>
      <c r="K259" s="37"/>
      <c r="L259" s="39" t="e">
        <f t="shared" si="360"/>
        <v>#DIV/0!</v>
      </c>
      <c r="M259" s="39" t="e">
        <f t="shared" si="361"/>
        <v>#DIV/0!</v>
      </c>
      <c r="N259" s="37"/>
      <c r="O259" s="37">
        <f t="shared" si="357"/>
        <v>0</v>
      </c>
      <c r="P259" s="39" t="e">
        <f t="shared" ref="P259:P266" si="363">N259/H259</f>
        <v>#DIV/0!</v>
      </c>
      <c r="Q259" s="149"/>
      <c r="R259" s="149"/>
      <c r="S259" s="373"/>
    </row>
    <row r="260" spans="1:19" s="28" customFormat="1" ht="30.75" customHeight="1" x14ac:dyDescent="0.35">
      <c r="A260" s="188"/>
      <c r="B260" s="80" t="s">
        <v>11</v>
      </c>
      <c r="C260" s="80"/>
      <c r="D260" s="81" t="e">
        <f>#REF!</f>
        <v>#REF!</v>
      </c>
      <c r="E260" s="81" t="e">
        <f>#REF!</f>
        <v>#REF!</v>
      </c>
      <c r="F260" s="81" t="e">
        <f>#REF!</f>
        <v>#REF!</v>
      </c>
      <c r="G260" s="76"/>
      <c r="H260" s="76"/>
      <c r="I260" s="76"/>
      <c r="J260" s="47" t="e">
        <f t="shared" si="359"/>
        <v>#DIV/0!</v>
      </c>
      <c r="K260" s="37"/>
      <c r="L260" s="39" t="e">
        <f t="shared" si="360"/>
        <v>#DIV/0!</v>
      </c>
      <c r="M260" s="39" t="e">
        <f t="shared" si="361"/>
        <v>#DIV/0!</v>
      </c>
      <c r="N260" s="37"/>
      <c r="O260" s="41">
        <f t="shared" si="357"/>
        <v>0</v>
      </c>
      <c r="P260" s="39" t="e">
        <f t="shared" si="363"/>
        <v>#DIV/0!</v>
      </c>
      <c r="Q260" s="84"/>
      <c r="R260" s="84"/>
      <c r="S260" s="374"/>
    </row>
    <row r="261" spans="1:19" s="28" customFormat="1" ht="398.25" customHeight="1" x14ac:dyDescent="0.35">
      <c r="A261" s="74" t="s">
        <v>376</v>
      </c>
      <c r="B261" s="223" t="s">
        <v>377</v>
      </c>
      <c r="C261" s="69" t="s">
        <v>17</v>
      </c>
      <c r="D261" s="224"/>
      <c r="E261" s="224"/>
      <c r="F261" s="224"/>
      <c r="G261" s="70">
        <f>SUM(G262:G266)</f>
        <v>1000</v>
      </c>
      <c r="H261" s="70">
        <f>SUM(H262:H266)</f>
        <v>1000</v>
      </c>
      <c r="I261" s="70">
        <f>SUM(I262:I266)</f>
        <v>1000</v>
      </c>
      <c r="J261" s="204">
        <f t="shared" si="359"/>
        <v>1</v>
      </c>
      <c r="K261" s="70">
        <f>SUM(K262:K266)</f>
        <v>500</v>
      </c>
      <c r="L261" s="78">
        <f t="shared" si="360"/>
        <v>0.5</v>
      </c>
      <c r="M261" s="78">
        <f t="shared" si="361"/>
        <v>0.5</v>
      </c>
      <c r="N261" s="70">
        <f>SUM(N262:N266)</f>
        <v>1000</v>
      </c>
      <c r="O261" s="70">
        <f>SUM(O262:O266)</f>
        <v>0</v>
      </c>
      <c r="P261" s="78">
        <f t="shared" si="363"/>
        <v>1</v>
      </c>
      <c r="Q261" s="149"/>
      <c r="R261" s="149"/>
      <c r="S261" s="90" t="s">
        <v>407</v>
      </c>
    </row>
    <row r="262" spans="1:19" s="28" customFormat="1" x14ac:dyDescent="0.35">
      <c r="A262" s="74"/>
      <c r="B262" s="75" t="s">
        <v>10</v>
      </c>
      <c r="C262" s="80"/>
      <c r="D262" s="81"/>
      <c r="E262" s="81"/>
      <c r="F262" s="81"/>
      <c r="G262" s="76"/>
      <c r="H262" s="76"/>
      <c r="I262" s="76"/>
      <c r="J262" s="47" t="e">
        <f t="shared" si="359"/>
        <v>#DIV/0!</v>
      </c>
      <c r="K262" s="37"/>
      <c r="L262" s="39" t="e">
        <f t="shared" si="360"/>
        <v>#DIV/0!</v>
      </c>
      <c r="M262" s="39" t="e">
        <f t="shared" si="361"/>
        <v>#DIV/0!</v>
      </c>
      <c r="N262" s="37"/>
      <c r="O262" s="41"/>
      <c r="P262" s="39" t="e">
        <f t="shared" si="363"/>
        <v>#DIV/0!</v>
      </c>
      <c r="Q262" s="149"/>
      <c r="R262" s="149"/>
      <c r="S262" s="90"/>
    </row>
    <row r="263" spans="1:19" s="28" customFormat="1" x14ac:dyDescent="0.35">
      <c r="A263" s="74"/>
      <c r="B263" s="75" t="s">
        <v>8</v>
      </c>
      <c r="C263" s="80"/>
      <c r="D263" s="81"/>
      <c r="E263" s="81"/>
      <c r="F263" s="81"/>
      <c r="G263" s="76">
        <v>1000</v>
      </c>
      <c r="H263" s="76">
        <v>1000</v>
      </c>
      <c r="I263" s="76">
        <v>1000</v>
      </c>
      <c r="J263" s="204">
        <f t="shared" si="359"/>
        <v>1</v>
      </c>
      <c r="K263" s="76">
        <v>500</v>
      </c>
      <c r="L263" s="78">
        <f t="shared" si="360"/>
        <v>0.5</v>
      </c>
      <c r="M263" s="78">
        <f t="shared" si="361"/>
        <v>0.5</v>
      </c>
      <c r="N263" s="76">
        <v>1000</v>
      </c>
      <c r="O263" s="81"/>
      <c r="P263" s="78">
        <f t="shared" si="363"/>
        <v>1</v>
      </c>
      <c r="Q263" s="149"/>
      <c r="R263" s="149"/>
      <c r="S263" s="90"/>
    </row>
    <row r="264" spans="1:19" s="28" customFormat="1" x14ac:dyDescent="0.35">
      <c r="A264" s="74"/>
      <c r="B264" s="75" t="s">
        <v>19</v>
      </c>
      <c r="C264" s="80"/>
      <c r="D264" s="81"/>
      <c r="E264" s="81"/>
      <c r="F264" s="81"/>
      <c r="G264" s="76"/>
      <c r="H264" s="76"/>
      <c r="I264" s="76"/>
      <c r="J264" s="47" t="e">
        <f t="shared" si="359"/>
        <v>#DIV/0!</v>
      </c>
      <c r="K264" s="37"/>
      <c r="L264" s="39" t="e">
        <f t="shared" si="360"/>
        <v>#DIV/0!</v>
      </c>
      <c r="M264" s="39" t="e">
        <f t="shared" si="361"/>
        <v>#DIV/0!</v>
      </c>
      <c r="N264" s="37"/>
      <c r="O264" s="41"/>
      <c r="P264" s="39" t="e">
        <f t="shared" si="363"/>
        <v>#DIV/0!</v>
      </c>
      <c r="Q264" s="149"/>
      <c r="R264" s="149"/>
      <c r="S264" s="90"/>
    </row>
    <row r="265" spans="1:19" s="28" customFormat="1" x14ac:dyDescent="0.35">
      <c r="A265" s="74"/>
      <c r="B265" s="75" t="s">
        <v>22</v>
      </c>
      <c r="C265" s="80"/>
      <c r="D265" s="81"/>
      <c r="E265" s="81"/>
      <c r="F265" s="81"/>
      <c r="G265" s="76"/>
      <c r="H265" s="76"/>
      <c r="I265" s="76"/>
      <c r="J265" s="47" t="e">
        <f t="shared" si="359"/>
        <v>#DIV/0!</v>
      </c>
      <c r="K265" s="37"/>
      <c r="L265" s="39" t="e">
        <f t="shared" si="360"/>
        <v>#DIV/0!</v>
      </c>
      <c r="M265" s="39" t="e">
        <f t="shared" si="361"/>
        <v>#DIV/0!</v>
      </c>
      <c r="N265" s="37"/>
      <c r="O265" s="41"/>
      <c r="P265" s="39" t="e">
        <f t="shared" si="363"/>
        <v>#DIV/0!</v>
      </c>
      <c r="Q265" s="149"/>
      <c r="R265" s="149"/>
      <c r="S265" s="90"/>
    </row>
    <row r="266" spans="1:19" s="28" customFormat="1" x14ac:dyDescent="0.35">
      <c r="A266" s="74"/>
      <c r="B266" s="80" t="s">
        <v>11</v>
      </c>
      <c r="C266" s="80"/>
      <c r="D266" s="81"/>
      <c r="E266" s="81"/>
      <c r="F266" s="81"/>
      <c r="G266" s="76"/>
      <c r="H266" s="76"/>
      <c r="I266" s="76"/>
      <c r="J266" s="47" t="e">
        <f t="shared" si="359"/>
        <v>#DIV/0!</v>
      </c>
      <c r="K266" s="37"/>
      <c r="L266" s="39" t="e">
        <f t="shared" si="360"/>
        <v>#DIV/0!</v>
      </c>
      <c r="M266" s="39" t="e">
        <f t="shared" si="361"/>
        <v>#DIV/0!</v>
      </c>
      <c r="N266" s="37"/>
      <c r="O266" s="41"/>
      <c r="P266" s="39" t="e">
        <f t="shared" si="363"/>
        <v>#DIV/0!</v>
      </c>
      <c r="Q266" s="149"/>
      <c r="R266" s="149"/>
      <c r="S266" s="90"/>
    </row>
    <row r="267" spans="1:19" s="209" customFormat="1" ht="90" x14ac:dyDescent="0.25">
      <c r="A267" s="137" t="s">
        <v>18</v>
      </c>
      <c r="B267" s="138" t="s">
        <v>302</v>
      </c>
      <c r="C267" s="138" t="s">
        <v>9</v>
      </c>
      <c r="D267" s="139" t="e">
        <f>D269+D270+D271+#REF!+D272</f>
        <v>#REF!</v>
      </c>
      <c r="E267" s="139" t="e">
        <f>E269+E270+E271+#REF!+E272</f>
        <v>#REF!</v>
      </c>
      <c r="F267" s="139" t="e">
        <f>F269+F270+F271+#REF!+F272</f>
        <v>#REF!</v>
      </c>
      <c r="G267" s="139">
        <f>SUM(G268:G272)</f>
        <v>269426.59999999998</v>
      </c>
      <c r="H267" s="139">
        <f>SUM(H268:H272)</f>
        <v>270079.09999999998</v>
      </c>
      <c r="I267" s="348">
        <f>SUM(I268:I272)</f>
        <v>0</v>
      </c>
      <c r="J267" s="350">
        <f t="shared" si="359"/>
        <v>0</v>
      </c>
      <c r="K267" s="348">
        <f>SUM(K268:K272)</f>
        <v>0</v>
      </c>
      <c r="L267" s="351">
        <f t="shared" si="360"/>
        <v>0</v>
      </c>
      <c r="M267" s="351" t="e">
        <f t="shared" si="361"/>
        <v>#DIV/0!</v>
      </c>
      <c r="N267" s="139">
        <f>SUM(N268:N272)</f>
        <v>270079.09999999998</v>
      </c>
      <c r="O267" s="348">
        <f>H267-N267</f>
        <v>0</v>
      </c>
      <c r="P267" s="141">
        <f t="shared" si="352"/>
        <v>1</v>
      </c>
      <c r="Q267" s="126"/>
      <c r="R267" s="126"/>
      <c r="S267" s="381" t="s">
        <v>265</v>
      </c>
    </row>
    <row r="268" spans="1:19" s="150" customFormat="1" x14ac:dyDescent="0.25">
      <c r="A268" s="210"/>
      <c r="B268" s="211" t="s">
        <v>10</v>
      </c>
      <c r="C268" s="145"/>
      <c r="D268" s="146"/>
      <c r="E268" s="146"/>
      <c r="F268" s="146"/>
      <c r="G268" s="146">
        <f>G274</f>
        <v>0</v>
      </c>
      <c r="H268" s="146">
        <f t="shared" ref="H268:K268" si="364">H274</f>
        <v>0</v>
      </c>
      <c r="I268" s="352">
        <f t="shared" si="364"/>
        <v>0</v>
      </c>
      <c r="J268" s="353" t="e">
        <f t="shared" si="359"/>
        <v>#DIV/0!</v>
      </c>
      <c r="K268" s="352">
        <f t="shared" si="364"/>
        <v>0</v>
      </c>
      <c r="L268" s="354" t="e">
        <f t="shared" si="360"/>
        <v>#DIV/0!</v>
      </c>
      <c r="M268" s="354" t="e">
        <f t="shared" si="361"/>
        <v>#DIV/0!</v>
      </c>
      <c r="N268" s="146">
        <f t="shared" ref="N268" si="365">N274</f>
        <v>0</v>
      </c>
      <c r="O268" s="352">
        <f t="shared" ref="O268:O272" si="366">H268-N268</f>
        <v>0</v>
      </c>
      <c r="P268" s="354" t="e">
        <f t="shared" si="352"/>
        <v>#DIV/0!</v>
      </c>
      <c r="Q268" s="149"/>
      <c r="R268" s="149"/>
      <c r="S268" s="366"/>
    </row>
    <row r="269" spans="1:19" s="150" customFormat="1" x14ac:dyDescent="0.25">
      <c r="A269" s="210"/>
      <c r="B269" s="211" t="s">
        <v>8</v>
      </c>
      <c r="C269" s="145"/>
      <c r="D269" s="146" t="e">
        <f>D275+#REF!</f>
        <v>#REF!</v>
      </c>
      <c r="E269" s="146" t="e">
        <f>E275+#REF!</f>
        <v>#REF!</v>
      </c>
      <c r="F269" s="146" t="e">
        <f>F275+#REF!</f>
        <v>#REF!</v>
      </c>
      <c r="G269" s="146">
        <f t="shared" ref="G269:I269" si="367">G275</f>
        <v>249407.3</v>
      </c>
      <c r="H269" s="146">
        <f t="shared" si="367"/>
        <v>250059.8</v>
      </c>
      <c r="I269" s="352">
        <f t="shared" si="367"/>
        <v>0</v>
      </c>
      <c r="J269" s="353">
        <f t="shared" si="359"/>
        <v>0</v>
      </c>
      <c r="K269" s="352">
        <f t="shared" ref="K269" si="368">K275</f>
        <v>0</v>
      </c>
      <c r="L269" s="354">
        <f t="shared" si="360"/>
        <v>0</v>
      </c>
      <c r="M269" s="354" t="e">
        <f t="shared" si="361"/>
        <v>#DIV/0!</v>
      </c>
      <c r="N269" s="146">
        <f t="shared" ref="N269" si="369">N275</f>
        <v>250059.8</v>
      </c>
      <c r="O269" s="352">
        <f t="shared" si="366"/>
        <v>0</v>
      </c>
      <c r="P269" s="148">
        <f t="shared" si="352"/>
        <v>1</v>
      </c>
      <c r="Q269" s="149"/>
      <c r="R269" s="149"/>
      <c r="S269" s="366"/>
    </row>
    <row r="270" spans="1:19" s="150" customFormat="1" x14ac:dyDescent="0.25">
      <c r="A270" s="210"/>
      <c r="B270" s="211" t="s">
        <v>19</v>
      </c>
      <c r="C270" s="145"/>
      <c r="D270" s="146"/>
      <c r="E270" s="146"/>
      <c r="F270" s="146"/>
      <c r="G270" s="146">
        <f t="shared" ref="G270:H270" si="370">G276</f>
        <v>13126.7</v>
      </c>
      <c r="H270" s="146">
        <f t="shared" si="370"/>
        <v>13126.7</v>
      </c>
      <c r="I270" s="352">
        <f>I276</f>
        <v>0</v>
      </c>
      <c r="J270" s="353">
        <f t="shared" ref="J270:J278" si="371">I270/H270</f>
        <v>0</v>
      </c>
      <c r="K270" s="352">
        <f>K276</f>
        <v>0</v>
      </c>
      <c r="L270" s="354">
        <f t="shared" ref="L270:L278" si="372">K270/H270</f>
        <v>0</v>
      </c>
      <c r="M270" s="354" t="e">
        <f t="shared" ref="M270:M290" si="373">K270/I270</f>
        <v>#DIV/0!</v>
      </c>
      <c r="N270" s="146">
        <f t="shared" ref="N270" si="374">N276</f>
        <v>13126.7</v>
      </c>
      <c r="O270" s="352">
        <f t="shared" si="366"/>
        <v>0</v>
      </c>
      <c r="P270" s="148">
        <f t="shared" si="352"/>
        <v>1</v>
      </c>
      <c r="Q270" s="149"/>
      <c r="R270" s="149"/>
      <c r="S270" s="366"/>
    </row>
    <row r="271" spans="1:19" s="150" customFormat="1" x14ac:dyDescent="0.25">
      <c r="A271" s="210"/>
      <c r="B271" s="145" t="s">
        <v>22</v>
      </c>
      <c r="C271" s="145"/>
      <c r="D271" s="146"/>
      <c r="E271" s="146"/>
      <c r="F271" s="146"/>
      <c r="G271" s="146">
        <f t="shared" ref="G271:I271" si="375">G277</f>
        <v>6892.6</v>
      </c>
      <c r="H271" s="146">
        <f t="shared" si="375"/>
        <v>6892.6</v>
      </c>
      <c r="I271" s="352">
        <f t="shared" si="375"/>
        <v>0</v>
      </c>
      <c r="J271" s="353">
        <f t="shared" si="371"/>
        <v>0</v>
      </c>
      <c r="K271" s="352">
        <f t="shared" ref="K271" si="376">K277</f>
        <v>0</v>
      </c>
      <c r="L271" s="354">
        <f t="shared" si="372"/>
        <v>0</v>
      </c>
      <c r="M271" s="354" t="e">
        <f t="shared" si="373"/>
        <v>#DIV/0!</v>
      </c>
      <c r="N271" s="146">
        <f t="shared" ref="N271" si="377">N277</f>
        <v>6892.6</v>
      </c>
      <c r="O271" s="352">
        <f t="shared" si="366"/>
        <v>0</v>
      </c>
      <c r="P271" s="148">
        <f t="shared" si="352"/>
        <v>1</v>
      </c>
      <c r="Q271" s="149"/>
      <c r="R271" s="149"/>
      <c r="S271" s="366"/>
    </row>
    <row r="272" spans="1:19" s="150" customFormat="1" x14ac:dyDescent="0.25">
      <c r="A272" s="213"/>
      <c r="B272" s="211" t="s">
        <v>11</v>
      </c>
      <c r="C272" s="145"/>
      <c r="D272" s="146"/>
      <c r="E272" s="146"/>
      <c r="F272" s="146"/>
      <c r="G272" s="146">
        <f t="shared" ref="G272:I272" si="378">G278</f>
        <v>0</v>
      </c>
      <c r="H272" s="146">
        <f t="shared" si="378"/>
        <v>0</v>
      </c>
      <c r="I272" s="352">
        <f t="shared" si="378"/>
        <v>0</v>
      </c>
      <c r="J272" s="353" t="e">
        <f t="shared" si="371"/>
        <v>#DIV/0!</v>
      </c>
      <c r="K272" s="352">
        <f t="shared" ref="K272" si="379">K278</f>
        <v>0</v>
      </c>
      <c r="L272" s="354" t="e">
        <f t="shared" si="372"/>
        <v>#DIV/0!</v>
      </c>
      <c r="M272" s="354" t="e">
        <f t="shared" si="373"/>
        <v>#DIV/0!</v>
      </c>
      <c r="N272" s="146">
        <f t="shared" ref="N272" si="380">N278</f>
        <v>0</v>
      </c>
      <c r="O272" s="352">
        <f t="shared" si="366"/>
        <v>0</v>
      </c>
      <c r="P272" s="354" t="e">
        <f t="shared" si="352"/>
        <v>#DIV/0!</v>
      </c>
      <c r="Q272" s="84"/>
      <c r="R272" s="84"/>
      <c r="S272" s="367"/>
    </row>
    <row r="273" spans="1:19" s="158" customFormat="1" ht="69.75" x14ac:dyDescent="0.25">
      <c r="A273" s="152" t="s">
        <v>94</v>
      </c>
      <c r="B273" s="225" t="s">
        <v>188</v>
      </c>
      <c r="C273" s="154" t="s">
        <v>2</v>
      </c>
      <c r="D273" s="155" t="e">
        <f>D275</f>
        <v>#REF!</v>
      </c>
      <c r="E273" s="155">
        <f>E275</f>
        <v>0</v>
      </c>
      <c r="F273" s="155" t="e">
        <f>F275</f>
        <v>#REF!</v>
      </c>
      <c r="G273" s="155">
        <f>SUM(G274:G278)</f>
        <v>269426.59999999998</v>
      </c>
      <c r="H273" s="155">
        <f t="shared" ref="H273:K273" si="381">SUM(H274:H278)</f>
        <v>270079.09999999998</v>
      </c>
      <c r="I273" s="155">
        <f t="shared" si="381"/>
        <v>0</v>
      </c>
      <c r="J273" s="333">
        <f t="shared" si="371"/>
        <v>0</v>
      </c>
      <c r="K273" s="87">
        <f t="shared" si="381"/>
        <v>0</v>
      </c>
      <c r="L273" s="54">
        <f t="shared" si="372"/>
        <v>0</v>
      </c>
      <c r="M273" s="54" t="e">
        <f t="shared" si="373"/>
        <v>#DIV/0!</v>
      </c>
      <c r="N273" s="155">
        <f t="shared" ref="N273" si="382">SUM(N274:N278)</f>
        <v>270079.09999999998</v>
      </c>
      <c r="O273" s="155">
        <f>H273-N273</f>
        <v>0</v>
      </c>
      <c r="P273" s="182">
        <f t="shared" si="352"/>
        <v>1</v>
      </c>
      <c r="Q273" s="173"/>
      <c r="R273" s="173"/>
      <c r="S273" s="372"/>
    </row>
    <row r="274" spans="1:19" s="142" customFormat="1" ht="30.75" customHeight="1" x14ac:dyDescent="0.25">
      <c r="A274" s="159"/>
      <c r="B274" s="226" t="s">
        <v>10</v>
      </c>
      <c r="C274" s="123"/>
      <c r="D274" s="79"/>
      <c r="E274" s="79"/>
      <c r="F274" s="79"/>
      <c r="G274" s="76">
        <f>G280</f>
        <v>0</v>
      </c>
      <c r="H274" s="76">
        <f t="shared" ref="H274" si="383">H280</f>
        <v>0</v>
      </c>
      <c r="I274" s="76">
        <f>I280</f>
        <v>0</v>
      </c>
      <c r="J274" s="38" t="e">
        <f t="shared" si="371"/>
        <v>#DIV/0!</v>
      </c>
      <c r="K274" s="37">
        <f>K280</f>
        <v>0</v>
      </c>
      <c r="L274" s="39" t="e">
        <f t="shared" si="372"/>
        <v>#DIV/0!</v>
      </c>
      <c r="M274" s="39" t="e">
        <f>K274/I274</f>
        <v>#DIV/0!</v>
      </c>
      <c r="N274" s="76">
        <f>N280</f>
        <v>0</v>
      </c>
      <c r="O274" s="76">
        <f>H274-N274</f>
        <v>0</v>
      </c>
      <c r="P274" s="39" t="e">
        <f t="shared" ref="P274:P278" si="384">P286</f>
        <v>#DIV/0!</v>
      </c>
      <c r="Q274" s="149"/>
      <c r="R274" s="149"/>
      <c r="S274" s="373"/>
    </row>
    <row r="275" spans="1:19" s="142" customFormat="1" ht="30.75" customHeight="1" x14ac:dyDescent="0.25">
      <c r="A275" s="159"/>
      <c r="B275" s="226" t="s">
        <v>8</v>
      </c>
      <c r="C275" s="123"/>
      <c r="D275" s="76" t="e">
        <f>D287+#REF!+#REF!+#REF!</f>
        <v>#REF!</v>
      </c>
      <c r="E275" s="76"/>
      <c r="F275" s="76" t="e">
        <f>F287+#REF!+#REF!+#REF!</f>
        <v>#REF!</v>
      </c>
      <c r="G275" s="76">
        <f>G281+G293</f>
        <v>249407.3</v>
      </c>
      <c r="H275" s="76">
        <f>H281+H293</f>
        <v>250059.8</v>
      </c>
      <c r="I275" s="76">
        <f t="shared" ref="I275" si="385">I281</f>
        <v>0</v>
      </c>
      <c r="J275" s="38">
        <f t="shared" si="371"/>
        <v>0</v>
      </c>
      <c r="K275" s="37">
        <f t="shared" ref="K275" si="386">K281</f>
        <v>0</v>
      </c>
      <c r="L275" s="39">
        <f t="shared" si="372"/>
        <v>0</v>
      </c>
      <c r="M275" s="39" t="e">
        <f t="shared" si="373"/>
        <v>#DIV/0!</v>
      </c>
      <c r="N275" s="76">
        <f>N281+N293</f>
        <v>250059.8</v>
      </c>
      <c r="O275" s="76">
        <f t="shared" ref="O275:O278" si="387">H275-N275</f>
        <v>0</v>
      </c>
      <c r="P275" s="78">
        <f t="shared" si="384"/>
        <v>1</v>
      </c>
      <c r="Q275" s="149"/>
      <c r="R275" s="149"/>
      <c r="S275" s="373"/>
    </row>
    <row r="276" spans="1:19" s="142" customFormat="1" ht="30.75" customHeight="1" x14ac:dyDescent="0.25">
      <c r="A276" s="159"/>
      <c r="B276" s="226" t="s">
        <v>19</v>
      </c>
      <c r="C276" s="123"/>
      <c r="D276" s="79"/>
      <c r="E276" s="79"/>
      <c r="F276" s="79"/>
      <c r="G276" s="76">
        <f t="shared" ref="G276:I276" si="388">G282</f>
        <v>13126.7</v>
      </c>
      <c r="H276" s="76">
        <f t="shared" si="388"/>
        <v>13126.7</v>
      </c>
      <c r="I276" s="76">
        <f t="shared" si="388"/>
        <v>0</v>
      </c>
      <c r="J276" s="38">
        <f t="shared" si="371"/>
        <v>0</v>
      </c>
      <c r="K276" s="37">
        <f t="shared" ref="K276" si="389">K282</f>
        <v>0</v>
      </c>
      <c r="L276" s="39">
        <f t="shared" si="372"/>
        <v>0</v>
      </c>
      <c r="M276" s="39" t="e">
        <f t="shared" si="373"/>
        <v>#DIV/0!</v>
      </c>
      <c r="N276" s="76">
        <f t="shared" ref="N276" si="390">N282</f>
        <v>13126.7</v>
      </c>
      <c r="O276" s="76">
        <f t="shared" si="387"/>
        <v>0</v>
      </c>
      <c r="P276" s="78">
        <f t="shared" si="384"/>
        <v>1</v>
      </c>
      <c r="Q276" s="149"/>
      <c r="R276" s="149"/>
      <c r="S276" s="373"/>
    </row>
    <row r="277" spans="1:19" s="142" customFormat="1" ht="30.75" customHeight="1" x14ac:dyDescent="0.25">
      <c r="A277" s="159"/>
      <c r="B277" s="75" t="s">
        <v>22</v>
      </c>
      <c r="C277" s="123"/>
      <c r="D277" s="79"/>
      <c r="E277" s="79"/>
      <c r="F277" s="79"/>
      <c r="G277" s="76">
        <f t="shared" ref="G277:I277" si="391">G283</f>
        <v>6892.6</v>
      </c>
      <c r="H277" s="76">
        <f t="shared" si="391"/>
        <v>6892.6</v>
      </c>
      <c r="I277" s="76">
        <f t="shared" si="391"/>
        <v>0</v>
      </c>
      <c r="J277" s="38">
        <f t="shared" si="371"/>
        <v>0</v>
      </c>
      <c r="K277" s="37">
        <f t="shared" ref="K277" si="392">K283</f>
        <v>0</v>
      </c>
      <c r="L277" s="39">
        <f t="shared" si="372"/>
        <v>0</v>
      </c>
      <c r="M277" s="39" t="e">
        <f t="shared" si="373"/>
        <v>#DIV/0!</v>
      </c>
      <c r="N277" s="76">
        <f t="shared" ref="N277" si="393">N283</f>
        <v>6892.6</v>
      </c>
      <c r="O277" s="76">
        <f t="shared" si="387"/>
        <v>0</v>
      </c>
      <c r="P277" s="78">
        <f t="shared" si="384"/>
        <v>1</v>
      </c>
      <c r="Q277" s="149"/>
      <c r="R277" s="149"/>
      <c r="S277" s="373"/>
    </row>
    <row r="278" spans="1:19" s="142" customFormat="1" ht="30.75" customHeight="1" x14ac:dyDescent="0.25">
      <c r="A278" s="162"/>
      <c r="B278" s="226" t="s">
        <v>11</v>
      </c>
      <c r="C278" s="123"/>
      <c r="D278" s="79"/>
      <c r="E278" s="79"/>
      <c r="F278" s="79"/>
      <c r="G278" s="76">
        <f t="shared" ref="G278:I278" si="394">G284</f>
        <v>0</v>
      </c>
      <c r="H278" s="76">
        <f t="shared" si="394"/>
        <v>0</v>
      </c>
      <c r="I278" s="76">
        <f t="shared" si="394"/>
        <v>0</v>
      </c>
      <c r="J278" s="38" t="e">
        <f t="shared" si="371"/>
        <v>#DIV/0!</v>
      </c>
      <c r="K278" s="37">
        <f t="shared" ref="K278" si="395">K284</f>
        <v>0</v>
      </c>
      <c r="L278" s="39" t="e">
        <f t="shared" si="372"/>
        <v>#DIV/0!</v>
      </c>
      <c r="M278" s="39" t="e">
        <f t="shared" si="373"/>
        <v>#DIV/0!</v>
      </c>
      <c r="N278" s="76">
        <f t="shared" ref="N278" si="396">N284</f>
        <v>0</v>
      </c>
      <c r="O278" s="76">
        <f t="shared" si="387"/>
        <v>0</v>
      </c>
      <c r="P278" s="39" t="e">
        <f t="shared" si="384"/>
        <v>#DIV/0!</v>
      </c>
      <c r="Q278" s="84"/>
      <c r="R278" s="84"/>
      <c r="S278" s="374"/>
    </row>
    <row r="279" spans="1:19" s="166" customFormat="1" ht="57" customHeight="1" x14ac:dyDescent="0.25">
      <c r="A279" s="67" t="s">
        <v>95</v>
      </c>
      <c r="B279" s="227" t="s">
        <v>186</v>
      </c>
      <c r="C279" s="69" t="s">
        <v>17</v>
      </c>
      <c r="D279" s="70" t="e">
        <f>D280+D281+D282+D283+#REF!+D284</f>
        <v>#REF!</v>
      </c>
      <c r="E279" s="70" t="e">
        <f>E280+E281+E282+E283+#REF!+E284</f>
        <v>#REF!</v>
      </c>
      <c r="F279" s="70" t="e">
        <f>F280+F281+F282+F283+#REF!+F284</f>
        <v>#REF!</v>
      </c>
      <c r="G279" s="70">
        <f>SUM(G280:G284)</f>
        <v>269426.59999999998</v>
      </c>
      <c r="H279" s="70">
        <f t="shared" ref="H279:I279" si="397">SUM(H280:H284)</f>
        <v>269426.59999999998</v>
      </c>
      <c r="I279" s="70">
        <f t="shared" si="397"/>
        <v>0</v>
      </c>
      <c r="J279" s="329">
        <f>I279/H279</f>
        <v>0</v>
      </c>
      <c r="K279" s="330">
        <f t="shared" ref="K279" si="398">SUM(K280:K284)</f>
        <v>0</v>
      </c>
      <c r="L279" s="56">
        <f>K279/H279</f>
        <v>0</v>
      </c>
      <c r="M279" s="39" t="e">
        <f t="shared" si="373"/>
        <v>#DIV/0!</v>
      </c>
      <c r="N279" s="70">
        <f t="shared" ref="N279" si="399">SUM(N280:N284)</f>
        <v>269426.59999999998</v>
      </c>
      <c r="O279" s="70">
        <f>H279-N279</f>
        <v>0</v>
      </c>
      <c r="P279" s="73">
        <f t="shared" ref="P279:P299" si="400">N279/H279</f>
        <v>1</v>
      </c>
      <c r="Q279" s="165"/>
      <c r="R279" s="165"/>
      <c r="S279" s="372"/>
    </row>
    <row r="280" spans="1:19" s="107" customFormat="1" ht="30.75" customHeight="1" x14ac:dyDescent="0.25">
      <c r="A280" s="167"/>
      <c r="B280" s="226" t="s">
        <v>10</v>
      </c>
      <c r="C280" s="75"/>
      <c r="D280" s="76"/>
      <c r="E280" s="76"/>
      <c r="F280" s="76"/>
      <c r="G280" s="76">
        <f>G286</f>
        <v>0</v>
      </c>
      <c r="H280" s="76">
        <f t="shared" ref="H280:I280" si="401">H286</f>
        <v>0</v>
      </c>
      <c r="I280" s="76">
        <f t="shared" si="401"/>
        <v>0</v>
      </c>
      <c r="J280" s="38" t="e">
        <f t="shared" ref="J280" si="402">I280/H280</f>
        <v>#DIV/0!</v>
      </c>
      <c r="K280" s="37">
        <f t="shared" ref="K280:K284" si="403">K286</f>
        <v>0</v>
      </c>
      <c r="L280" s="39" t="e">
        <f t="shared" ref="L280" si="404">K280/H280</f>
        <v>#DIV/0!</v>
      </c>
      <c r="M280" s="39" t="e">
        <f t="shared" si="373"/>
        <v>#DIV/0!</v>
      </c>
      <c r="N280" s="76">
        <f t="shared" ref="N280:N284" si="405">N286</f>
        <v>0</v>
      </c>
      <c r="O280" s="76">
        <f>H280-N280</f>
        <v>0</v>
      </c>
      <c r="P280" s="39" t="e">
        <f t="shared" si="400"/>
        <v>#DIV/0!</v>
      </c>
      <c r="Q280" s="149"/>
      <c r="R280" s="149"/>
      <c r="S280" s="373"/>
    </row>
    <row r="281" spans="1:19" s="107" customFormat="1" ht="30.75" customHeight="1" x14ac:dyDescent="0.25">
      <c r="A281" s="167"/>
      <c r="B281" s="226" t="s">
        <v>8</v>
      </c>
      <c r="C281" s="75"/>
      <c r="D281" s="76"/>
      <c r="E281" s="76"/>
      <c r="F281" s="76"/>
      <c r="G281" s="76">
        <f t="shared" ref="G281:I284" si="406">G287</f>
        <v>249407.3</v>
      </c>
      <c r="H281" s="76">
        <f t="shared" si="406"/>
        <v>249407.3</v>
      </c>
      <c r="I281" s="76">
        <f t="shared" si="406"/>
        <v>0</v>
      </c>
      <c r="J281" s="38">
        <f>I281/H281</f>
        <v>0</v>
      </c>
      <c r="K281" s="37">
        <f t="shared" si="403"/>
        <v>0</v>
      </c>
      <c r="L281" s="39">
        <f>K281/H281</f>
        <v>0</v>
      </c>
      <c r="M281" s="39" t="e">
        <f t="shared" si="373"/>
        <v>#DIV/0!</v>
      </c>
      <c r="N281" s="76">
        <f>N287</f>
        <v>249407.3</v>
      </c>
      <c r="O281" s="76">
        <f t="shared" ref="O281:O284" si="407">H281-N281</f>
        <v>0</v>
      </c>
      <c r="P281" s="78">
        <f t="shared" si="400"/>
        <v>1</v>
      </c>
      <c r="Q281" s="149"/>
      <c r="R281" s="149"/>
      <c r="S281" s="373"/>
    </row>
    <row r="282" spans="1:19" s="107" customFormat="1" ht="30.75" customHeight="1" x14ac:dyDescent="0.25">
      <c r="A282" s="167"/>
      <c r="B282" s="226" t="s">
        <v>19</v>
      </c>
      <c r="C282" s="75"/>
      <c r="D282" s="76"/>
      <c r="E282" s="76"/>
      <c r="F282" s="76"/>
      <c r="G282" s="76">
        <f t="shared" si="406"/>
        <v>13126.7</v>
      </c>
      <c r="H282" s="76">
        <f t="shared" si="406"/>
        <v>13126.7</v>
      </c>
      <c r="I282" s="76">
        <f t="shared" si="406"/>
        <v>0</v>
      </c>
      <c r="J282" s="38">
        <f t="shared" ref="J282:J284" si="408">I282/H282</f>
        <v>0</v>
      </c>
      <c r="K282" s="37">
        <f t="shared" si="403"/>
        <v>0</v>
      </c>
      <c r="L282" s="39">
        <f t="shared" ref="L282:L284" si="409">K282/H282</f>
        <v>0</v>
      </c>
      <c r="M282" s="39" t="e">
        <f t="shared" si="373"/>
        <v>#DIV/0!</v>
      </c>
      <c r="N282" s="76">
        <f t="shared" si="405"/>
        <v>13126.7</v>
      </c>
      <c r="O282" s="76">
        <f t="shared" si="407"/>
        <v>0</v>
      </c>
      <c r="P282" s="78">
        <f t="shared" si="400"/>
        <v>1</v>
      </c>
      <c r="Q282" s="149"/>
      <c r="R282" s="149"/>
      <c r="S282" s="373"/>
    </row>
    <row r="283" spans="1:19" s="107" customFormat="1" ht="30.75" customHeight="1" x14ac:dyDescent="0.25">
      <c r="A283" s="167"/>
      <c r="B283" s="75" t="s">
        <v>22</v>
      </c>
      <c r="C283" s="75"/>
      <c r="D283" s="76"/>
      <c r="E283" s="76"/>
      <c r="F283" s="76"/>
      <c r="G283" s="76">
        <f t="shared" si="406"/>
        <v>6892.6</v>
      </c>
      <c r="H283" s="76">
        <f t="shared" si="406"/>
        <v>6892.6</v>
      </c>
      <c r="I283" s="76">
        <f t="shared" si="406"/>
        <v>0</v>
      </c>
      <c r="J283" s="38">
        <f t="shared" si="408"/>
        <v>0</v>
      </c>
      <c r="K283" s="37">
        <f t="shared" si="403"/>
        <v>0</v>
      </c>
      <c r="L283" s="39">
        <f t="shared" si="409"/>
        <v>0</v>
      </c>
      <c r="M283" s="39" t="e">
        <f t="shared" si="373"/>
        <v>#DIV/0!</v>
      </c>
      <c r="N283" s="76">
        <f t="shared" si="405"/>
        <v>6892.6</v>
      </c>
      <c r="O283" s="76">
        <f t="shared" si="407"/>
        <v>0</v>
      </c>
      <c r="P283" s="78">
        <f t="shared" si="400"/>
        <v>1</v>
      </c>
      <c r="Q283" s="149"/>
      <c r="R283" s="149"/>
      <c r="S283" s="373"/>
    </row>
    <row r="284" spans="1:19" s="107" customFormat="1" ht="30.75" customHeight="1" x14ac:dyDescent="0.25">
      <c r="A284" s="168"/>
      <c r="B284" s="226" t="s">
        <v>11</v>
      </c>
      <c r="C284" s="75"/>
      <c r="D284" s="76"/>
      <c r="E284" s="76"/>
      <c r="F284" s="76"/>
      <c r="G284" s="76">
        <f t="shared" si="406"/>
        <v>0</v>
      </c>
      <c r="H284" s="76">
        <f t="shared" si="406"/>
        <v>0</v>
      </c>
      <c r="I284" s="76">
        <f t="shared" si="406"/>
        <v>0</v>
      </c>
      <c r="J284" s="38" t="e">
        <f t="shared" si="408"/>
        <v>#DIV/0!</v>
      </c>
      <c r="K284" s="37">
        <f t="shared" si="403"/>
        <v>0</v>
      </c>
      <c r="L284" s="39" t="e">
        <f t="shared" si="409"/>
        <v>#DIV/0!</v>
      </c>
      <c r="M284" s="39" t="e">
        <f t="shared" si="373"/>
        <v>#DIV/0!</v>
      </c>
      <c r="N284" s="76">
        <f t="shared" si="405"/>
        <v>0</v>
      </c>
      <c r="O284" s="76">
        <f t="shared" si="407"/>
        <v>0</v>
      </c>
      <c r="P284" s="39" t="e">
        <f t="shared" si="400"/>
        <v>#DIV/0!</v>
      </c>
      <c r="Q284" s="84"/>
      <c r="R284" s="84"/>
      <c r="S284" s="374"/>
    </row>
    <row r="285" spans="1:19" s="142" customFormat="1" ht="101.25" customHeight="1" x14ac:dyDescent="0.25">
      <c r="A285" s="67" t="s">
        <v>187</v>
      </c>
      <c r="B285" s="227" t="s">
        <v>359</v>
      </c>
      <c r="C285" s="69"/>
      <c r="D285" s="70" t="e">
        <f>D286+D287+D288+D289+#REF!+D290</f>
        <v>#REF!</v>
      </c>
      <c r="E285" s="70" t="e">
        <f>E286+E287+E288+E289+#REF!+E290</f>
        <v>#REF!</v>
      </c>
      <c r="F285" s="70" t="e">
        <f>F286+F287+F288+F289+#REF!+F290</f>
        <v>#REF!</v>
      </c>
      <c r="G285" s="70">
        <f>SUM(G286:G290)</f>
        <v>269426.59999999998</v>
      </c>
      <c r="H285" s="70">
        <f t="shared" ref="H285:K285" si="410">SUM(H286:H290)</f>
        <v>269426.59999999998</v>
      </c>
      <c r="I285" s="70">
        <f t="shared" si="410"/>
        <v>0</v>
      </c>
      <c r="J285" s="329">
        <f>I285/H285</f>
        <v>0</v>
      </c>
      <c r="K285" s="330">
        <f t="shared" si="410"/>
        <v>0</v>
      </c>
      <c r="L285" s="56">
        <f>K285/H285</f>
        <v>0</v>
      </c>
      <c r="M285" s="39" t="e">
        <f t="shared" si="373"/>
        <v>#DIV/0!</v>
      </c>
      <c r="N285" s="70">
        <f t="shared" ref="N285" si="411">SUM(N286:N290)</f>
        <v>269426.59999999998</v>
      </c>
      <c r="O285" s="70">
        <f>H285-N285</f>
        <v>0</v>
      </c>
      <c r="P285" s="73">
        <f t="shared" si="400"/>
        <v>1</v>
      </c>
      <c r="Q285" s="165"/>
      <c r="R285" s="165"/>
      <c r="S285" s="372" t="s">
        <v>521</v>
      </c>
    </row>
    <row r="286" spans="1:19" s="107" customFormat="1" ht="46.5" customHeight="1" x14ac:dyDescent="0.25">
      <c r="A286" s="167"/>
      <c r="B286" s="226" t="s">
        <v>10</v>
      </c>
      <c r="C286" s="75"/>
      <c r="D286" s="76"/>
      <c r="E286" s="76"/>
      <c r="F286" s="76"/>
      <c r="G286" s="76"/>
      <c r="H286" s="76"/>
      <c r="I286" s="161"/>
      <c r="J286" s="38"/>
      <c r="K286" s="37"/>
      <c r="L286" s="39"/>
      <c r="M286" s="39"/>
      <c r="N286" s="76"/>
      <c r="O286" s="76">
        <f>H286-N286</f>
        <v>0</v>
      </c>
      <c r="P286" s="39" t="e">
        <f t="shared" si="400"/>
        <v>#DIV/0!</v>
      </c>
      <c r="Q286" s="149"/>
      <c r="R286" s="149"/>
      <c r="S286" s="373"/>
    </row>
    <row r="287" spans="1:19" s="107" customFormat="1" ht="46.5" customHeight="1" x14ac:dyDescent="0.25">
      <c r="A287" s="167"/>
      <c r="B287" s="226" t="s">
        <v>8</v>
      </c>
      <c r="C287" s="75"/>
      <c r="D287" s="76"/>
      <c r="E287" s="76"/>
      <c r="F287" s="76"/>
      <c r="G287" s="76">
        <v>249407.3</v>
      </c>
      <c r="H287" s="76">
        <v>249407.3</v>
      </c>
      <c r="I287" s="76"/>
      <c r="J287" s="38">
        <f>I287/H287</f>
        <v>0</v>
      </c>
      <c r="K287" s="37"/>
      <c r="L287" s="39">
        <f>K287/H287</f>
        <v>0</v>
      </c>
      <c r="M287" s="39" t="e">
        <f t="shared" si="373"/>
        <v>#DIV/0!</v>
      </c>
      <c r="N287" s="76">
        <f>H287</f>
        <v>249407.3</v>
      </c>
      <c r="O287" s="76">
        <f t="shared" ref="O287:O332" si="412">H287-N287</f>
        <v>0</v>
      </c>
      <c r="P287" s="78">
        <f t="shared" si="400"/>
        <v>1</v>
      </c>
      <c r="Q287" s="149"/>
      <c r="R287" s="149"/>
      <c r="S287" s="373"/>
    </row>
    <row r="288" spans="1:19" s="107" customFormat="1" ht="46.5" customHeight="1" x14ac:dyDescent="0.25">
      <c r="A288" s="167"/>
      <c r="B288" s="226" t="s">
        <v>19</v>
      </c>
      <c r="C288" s="75"/>
      <c r="D288" s="76"/>
      <c r="E288" s="76"/>
      <c r="F288" s="76"/>
      <c r="G288" s="76">
        <v>13126.7</v>
      </c>
      <c r="H288" s="76">
        <v>13126.7</v>
      </c>
      <c r="I288" s="76"/>
      <c r="J288" s="38">
        <f t="shared" ref="J288:J290" si="413">I288/H288</f>
        <v>0</v>
      </c>
      <c r="K288" s="37"/>
      <c r="L288" s="39">
        <f t="shared" ref="L288:L290" si="414">K288/H288</f>
        <v>0</v>
      </c>
      <c r="M288" s="39" t="e">
        <f t="shared" si="373"/>
        <v>#DIV/0!</v>
      </c>
      <c r="N288" s="76">
        <f t="shared" ref="N288:N289" si="415">H288</f>
        <v>13126.7</v>
      </c>
      <c r="O288" s="76">
        <f t="shared" si="412"/>
        <v>0</v>
      </c>
      <c r="P288" s="78">
        <f t="shared" si="400"/>
        <v>1</v>
      </c>
      <c r="Q288" s="149"/>
      <c r="R288" s="149"/>
      <c r="S288" s="373"/>
    </row>
    <row r="289" spans="1:19" s="107" customFormat="1" ht="46.5" customHeight="1" x14ac:dyDescent="0.25">
      <c r="A289" s="167"/>
      <c r="B289" s="75" t="s">
        <v>22</v>
      </c>
      <c r="C289" s="75"/>
      <c r="D289" s="76"/>
      <c r="E289" s="76"/>
      <c r="F289" s="76"/>
      <c r="G289" s="76">
        <v>6892.6</v>
      </c>
      <c r="H289" s="76">
        <v>6892.6</v>
      </c>
      <c r="I289" s="76"/>
      <c r="J289" s="38">
        <f t="shared" si="413"/>
        <v>0</v>
      </c>
      <c r="K289" s="37"/>
      <c r="L289" s="39">
        <f t="shared" si="414"/>
        <v>0</v>
      </c>
      <c r="M289" s="39" t="e">
        <f t="shared" si="373"/>
        <v>#DIV/0!</v>
      </c>
      <c r="N289" s="76">
        <f t="shared" si="415"/>
        <v>6892.6</v>
      </c>
      <c r="O289" s="76">
        <f t="shared" si="412"/>
        <v>0</v>
      </c>
      <c r="P289" s="78">
        <f t="shared" si="400"/>
        <v>1</v>
      </c>
      <c r="Q289" s="149"/>
      <c r="R289" s="149"/>
      <c r="S289" s="373"/>
    </row>
    <row r="290" spans="1:19" s="107" customFormat="1" ht="46.5" customHeight="1" collapsed="1" x14ac:dyDescent="0.25">
      <c r="A290" s="168"/>
      <c r="B290" s="226" t="s">
        <v>11</v>
      </c>
      <c r="C290" s="75"/>
      <c r="D290" s="76"/>
      <c r="E290" s="76"/>
      <c r="F290" s="76"/>
      <c r="G290" s="76"/>
      <c r="H290" s="76"/>
      <c r="I290" s="161"/>
      <c r="J290" s="38" t="e">
        <f t="shared" si="413"/>
        <v>#DIV/0!</v>
      </c>
      <c r="K290" s="37"/>
      <c r="L290" s="39" t="e">
        <f t="shared" si="414"/>
        <v>#DIV/0!</v>
      </c>
      <c r="M290" s="39" t="e">
        <f t="shared" si="373"/>
        <v>#DIV/0!</v>
      </c>
      <c r="N290" s="76"/>
      <c r="O290" s="76">
        <f t="shared" si="412"/>
        <v>0</v>
      </c>
      <c r="P290" s="39" t="e">
        <f t="shared" si="400"/>
        <v>#DIV/0!</v>
      </c>
      <c r="Q290" s="84"/>
      <c r="R290" s="84"/>
      <c r="S290" s="374"/>
    </row>
    <row r="291" spans="1:19" s="107" customFormat="1" ht="146.25" customHeight="1" x14ac:dyDescent="0.25">
      <c r="A291" s="67" t="s">
        <v>497</v>
      </c>
      <c r="B291" s="227" t="s">
        <v>496</v>
      </c>
      <c r="C291" s="69" t="s">
        <v>17</v>
      </c>
      <c r="D291" s="76"/>
      <c r="E291" s="76"/>
      <c r="F291" s="76"/>
      <c r="G291" s="76">
        <f>SUM(G292:G296)</f>
        <v>0</v>
      </c>
      <c r="H291" s="76">
        <f>SUM(H292:H296)</f>
        <v>652.5</v>
      </c>
      <c r="I291" s="161"/>
      <c r="J291" s="77"/>
      <c r="K291" s="76"/>
      <c r="L291" s="78"/>
      <c r="M291" s="78"/>
      <c r="N291" s="76">
        <f>SUM(N292:N296)</f>
        <v>652.5</v>
      </c>
      <c r="O291" s="76"/>
      <c r="P291" s="78"/>
      <c r="Q291" s="84"/>
      <c r="R291" s="84"/>
      <c r="S291" s="228" t="s">
        <v>522</v>
      </c>
    </row>
    <row r="292" spans="1:19" s="107" customFormat="1" ht="46.5" customHeight="1" x14ac:dyDescent="0.25">
      <c r="A292" s="167"/>
      <c r="B292" s="226" t="s">
        <v>10</v>
      </c>
      <c r="C292" s="75"/>
      <c r="D292" s="76"/>
      <c r="E292" s="76"/>
      <c r="F292" s="76"/>
      <c r="G292" s="76"/>
      <c r="H292" s="76"/>
      <c r="I292" s="161"/>
      <c r="J292" s="77"/>
      <c r="K292" s="76"/>
      <c r="L292" s="78"/>
      <c r="M292" s="78"/>
      <c r="N292" s="76"/>
      <c r="O292" s="76"/>
      <c r="P292" s="78"/>
      <c r="Q292" s="84"/>
      <c r="R292" s="84"/>
      <c r="S292" s="229"/>
    </row>
    <row r="293" spans="1:19" s="107" customFormat="1" ht="46.5" customHeight="1" x14ac:dyDescent="0.25">
      <c r="A293" s="167"/>
      <c r="B293" s="226" t="s">
        <v>8</v>
      </c>
      <c r="C293" s="75"/>
      <c r="D293" s="76"/>
      <c r="E293" s="76"/>
      <c r="F293" s="76"/>
      <c r="G293" s="76"/>
      <c r="H293" s="76">
        <v>652.5</v>
      </c>
      <c r="I293" s="161"/>
      <c r="J293" s="77"/>
      <c r="K293" s="76"/>
      <c r="L293" s="78"/>
      <c r="M293" s="78"/>
      <c r="N293" s="76">
        <v>652.5</v>
      </c>
      <c r="O293" s="76"/>
      <c r="P293" s="78"/>
      <c r="Q293" s="84"/>
      <c r="R293" s="84"/>
      <c r="S293" s="229"/>
    </row>
    <row r="294" spans="1:19" s="107" customFormat="1" ht="46.5" customHeight="1" x14ac:dyDescent="0.25">
      <c r="A294" s="167"/>
      <c r="B294" s="226" t="s">
        <v>19</v>
      </c>
      <c r="C294" s="75"/>
      <c r="D294" s="76"/>
      <c r="E294" s="76"/>
      <c r="F294" s="76"/>
      <c r="G294" s="76"/>
      <c r="H294" s="76"/>
      <c r="I294" s="161"/>
      <c r="J294" s="77"/>
      <c r="K294" s="76"/>
      <c r="L294" s="78"/>
      <c r="M294" s="78"/>
      <c r="N294" s="76"/>
      <c r="O294" s="76"/>
      <c r="P294" s="78"/>
      <c r="Q294" s="84"/>
      <c r="R294" s="84"/>
      <c r="S294" s="229"/>
    </row>
    <row r="295" spans="1:19" s="107" customFormat="1" ht="46.5" customHeight="1" x14ac:dyDescent="0.25">
      <c r="A295" s="167"/>
      <c r="B295" s="75" t="s">
        <v>22</v>
      </c>
      <c r="C295" s="75"/>
      <c r="D295" s="76"/>
      <c r="E295" s="76"/>
      <c r="F295" s="76"/>
      <c r="G295" s="76"/>
      <c r="H295" s="76"/>
      <c r="I295" s="161"/>
      <c r="J295" s="77"/>
      <c r="K295" s="76"/>
      <c r="L295" s="78"/>
      <c r="M295" s="78"/>
      <c r="N295" s="76"/>
      <c r="O295" s="76"/>
      <c r="P295" s="78"/>
      <c r="Q295" s="84"/>
      <c r="R295" s="84"/>
      <c r="S295" s="229"/>
    </row>
    <row r="296" spans="1:19" s="107" customFormat="1" ht="46.5" customHeight="1" x14ac:dyDescent="0.25">
      <c r="A296" s="167"/>
      <c r="B296" s="226" t="s">
        <v>11</v>
      </c>
      <c r="C296" s="75"/>
      <c r="D296" s="76"/>
      <c r="E296" s="76"/>
      <c r="F296" s="76"/>
      <c r="G296" s="76"/>
      <c r="H296" s="76"/>
      <c r="I296" s="161"/>
      <c r="J296" s="77"/>
      <c r="K296" s="76"/>
      <c r="L296" s="78"/>
      <c r="M296" s="78"/>
      <c r="N296" s="76"/>
      <c r="O296" s="76"/>
      <c r="P296" s="78"/>
      <c r="Q296" s="84"/>
      <c r="R296" s="84"/>
      <c r="S296" s="230"/>
    </row>
    <row r="297" spans="1:19" s="231" customFormat="1" ht="114" customHeight="1" x14ac:dyDescent="0.25">
      <c r="A297" s="396" t="s">
        <v>127</v>
      </c>
      <c r="B297" s="138" t="s">
        <v>270</v>
      </c>
      <c r="C297" s="138" t="s">
        <v>9</v>
      </c>
      <c r="D297" s="139">
        <f t="shared" ref="D297:F297" si="416">SUM(D298:D299)</f>
        <v>0</v>
      </c>
      <c r="E297" s="139">
        <f t="shared" si="416"/>
        <v>0</v>
      </c>
      <c r="F297" s="139">
        <f t="shared" si="416"/>
        <v>0</v>
      </c>
      <c r="G297" s="139">
        <f>SUM(G298:G300)</f>
        <v>8659.2999999999993</v>
      </c>
      <c r="H297" s="139">
        <f t="shared" ref="H297:K297" si="417">SUM(H298:H300)</f>
        <v>8804.68</v>
      </c>
      <c r="I297" s="139">
        <f t="shared" si="417"/>
        <v>3845.38</v>
      </c>
      <c r="J297" s="140">
        <f>I297/H297</f>
        <v>0.44</v>
      </c>
      <c r="K297" s="139">
        <f t="shared" si="417"/>
        <v>3126.85</v>
      </c>
      <c r="L297" s="141">
        <f>K297/H297</f>
        <v>0.36</v>
      </c>
      <c r="M297" s="140">
        <f>K297/I297</f>
        <v>0.81</v>
      </c>
      <c r="N297" s="139">
        <f>SUM(N298:N299)</f>
        <v>8804.68</v>
      </c>
      <c r="O297" s="139">
        <f t="shared" si="412"/>
        <v>0</v>
      </c>
      <c r="P297" s="140">
        <f t="shared" si="400"/>
        <v>1</v>
      </c>
      <c r="Q297" s="139">
        <f t="shared" ref="Q297:Q332" si="418">H297-K297</f>
        <v>5677.83</v>
      </c>
      <c r="R297" s="139">
        <f t="shared" ref="R297:R374" si="419">I297-K297</f>
        <v>718.53</v>
      </c>
      <c r="S297" s="372" t="s">
        <v>503</v>
      </c>
    </row>
    <row r="298" spans="1:19" s="231" customFormat="1" x14ac:dyDescent="0.25">
      <c r="A298" s="397"/>
      <c r="B298" s="145" t="s">
        <v>10</v>
      </c>
      <c r="C298" s="145"/>
      <c r="D298" s="146">
        <f t="shared" ref="D298:I302" si="420">D304+D364</f>
        <v>0</v>
      </c>
      <c r="E298" s="146">
        <f t="shared" si="420"/>
        <v>0</v>
      </c>
      <c r="F298" s="146">
        <f t="shared" si="420"/>
        <v>0</v>
      </c>
      <c r="G298" s="352">
        <f t="shared" si="420"/>
        <v>0</v>
      </c>
      <c r="H298" s="352">
        <f t="shared" si="420"/>
        <v>0</v>
      </c>
      <c r="I298" s="352">
        <f t="shared" si="420"/>
        <v>0</v>
      </c>
      <c r="J298" s="353" t="e">
        <f>I298/H298</f>
        <v>#DIV/0!</v>
      </c>
      <c r="K298" s="352">
        <f>K304+K364</f>
        <v>0</v>
      </c>
      <c r="L298" s="354" t="e">
        <f>K298/H298</f>
        <v>#DIV/0!</v>
      </c>
      <c r="M298" s="354" t="e">
        <f>K298/I298</f>
        <v>#DIV/0!</v>
      </c>
      <c r="N298" s="352">
        <f t="shared" ref="N298:O301" si="421">N304+N364</f>
        <v>0</v>
      </c>
      <c r="O298" s="352">
        <f t="shared" si="421"/>
        <v>0</v>
      </c>
      <c r="P298" s="354" t="e">
        <f t="shared" si="400"/>
        <v>#DIV/0!</v>
      </c>
      <c r="Q298" s="146">
        <f t="shared" si="418"/>
        <v>0</v>
      </c>
      <c r="R298" s="146">
        <f t="shared" si="419"/>
        <v>0</v>
      </c>
      <c r="S298" s="373"/>
    </row>
    <row r="299" spans="1:19" s="231" customFormat="1" x14ac:dyDescent="0.25">
      <c r="A299" s="397"/>
      <c r="B299" s="145" t="s">
        <v>8</v>
      </c>
      <c r="C299" s="145"/>
      <c r="D299" s="146">
        <f t="shared" si="420"/>
        <v>0</v>
      </c>
      <c r="E299" s="146">
        <f t="shared" si="420"/>
        <v>0</v>
      </c>
      <c r="F299" s="146">
        <f t="shared" si="420"/>
        <v>0</v>
      </c>
      <c r="G299" s="146">
        <f t="shared" si="420"/>
        <v>8659.2999999999993</v>
      </c>
      <c r="H299" s="146">
        <f t="shared" si="420"/>
        <v>8804.68</v>
      </c>
      <c r="I299" s="146">
        <f t="shared" si="420"/>
        <v>3845.38</v>
      </c>
      <c r="J299" s="147">
        <f>I299/H299</f>
        <v>0.44</v>
      </c>
      <c r="K299" s="146">
        <f>K305+K365</f>
        <v>3126.85</v>
      </c>
      <c r="L299" s="148">
        <f>K299/H299</f>
        <v>0.36</v>
      </c>
      <c r="M299" s="148">
        <f>K299/I299</f>
        <v>0.81</v>
      </c>
      <c r="N299" s="146">
        <f t="shared" si="421"/>
        <v>8804.68</v>
      </c>
      <c r="O299" s="146">
        <f t="shared" si="421"/>
        <v>0</v>
      </c>
      <c r="P299" s="148">
        <f t="shared" si="400"/>
        <v>1</v>
      </c>
      <c r="Q299" s="146">
        <f t="shared" si="418"/>
        <v>5677.83</v>
      </c>
      <c r="R299" s="146">
        <f t="shared" si="419"/>
        <v>718.53</v>
      </c>
      <c r="S299" s="373"/>
    </row>
    <row r="300" spans="1:19" s="231" customFormat="1" x14ac:dyDescent="0.25">
      <c r="A300" s="397"/>
      <c r="B300" s="145" t="s">
        <v>19</v>
      </c>
      <c r="C300" s="145"/>
      <c r="D300" s="146">
        <f t="shared" si="420"/>
        <v>0</v>
      </c>
      <c r="E300" s="146">
        <f t="shared" si="420"/>
        <v>0</v>
      </c>
      <c r="F300" s="146">
        <f t="shared" si="420"/>
        <v>0</v>
      </c>
      <c r="G300" s="352">
        <f t="shared" si="420"/>
        <v>0</v>
      </c>
      <c r="H300" s="352">
        <f t="shared" si="420"/>
        <v>0</v>
      </c>
      <c r="I300" s="352">
        <f t="shared" si="420"/>
        <v>0</v>
      </c>
      <c r="J300" s="353" t="e">
        <f>I300/H300</f>
        <v>#DIV/0!</v>
      </c>
      <c r="K300" s="352">
        <f>K306+K366</f>
        <v>0</v>
      </c>
      <c r="L300" s="354" t="e">
        <f>K300/H300</f>
        <v>#DIV/0!</v>
      </c>
      <c r="M300" s="354" t="e">
        <f>K300/I300</f>
        <v>#DIV/0!</v>
      </c>
      <c r="N300" s="352">
        <f t="shared" si="421"/>
        <v>0</v>
      </c>
      <c r="O300" s="352">
        <f t="shared" si="421"/>
        <v>0</v>
      </c>
      <c r="P300" s="354"/>
      <c r="Q300" s="146">
        <f t="shared" si="418"/>
        <v>0</v>
      </c>
      <c r="R300" s="146">
        <f t="shared" si="419"/>
        <v>0</v>
      </c>
      <c r="S300" s="373"/>
    </row>
    <row r="301" spans="1:19" s="231" customFormat="1" x14ac:dyDescent="0.25">
      <c r="A301" s="397"/>
      <c r="B301" s="145" t="s">
        <v>22</v>
      </c>
      <c r="C301" s="145"/>
      <c r="D301" s="146">
        <f t="shared" si="420"/>
        <v>0</v>
      </c>
      <c r="E301" s="146">
        <f t="shared" si="420"/>
        <v>0</v>
      </c>
      <c r="F301" s="146">
        <f t="shared" si="420"/>
        <v>0</v>
      </c>
      <c r="G301" s="352">
        <f t="shared" si="420"/>
        <v>0</v>
      </c>
      <c r="H301" s="352">
        <f t="shared" si="420"/>
        <v>0</v>
      </c>
      <c r="I301" s="352">
        <f t="shared" si="420"/>
        <v>0</v>
      </c>
      <c r="J301" s="350"/>
      <c r="K301" s="352">
        <f>K307+K367</f>
        <v>0</v>
      </c>
      <c r="L301" s="351"/>
      <c r="M301" s="354"/>
      <c r="N301" s="352">
        <f t="shared" si="421"/>
        <v>0</v>
      </c>
      <c r="O301" s="352">
        <f t="shared" si="421"/>
        <v>0</v>
      </c>
      <c r="P301" s="354"/>
      <c r="Q301" s="146">
        <f t="shared" si="418"/>
        <v>0</v>
      </c>
      <c r="R301" s="146">
        <f t="shared" si="419"/>
        <v>0</v>
      </c>
      <c r="S301" s="373"/>
    </row>
    <row r="302" spans="1:19" s="231" customFormat="1" x14ac:dyDescent="0.25">
      <c r="A302" s="398"/>
      <c r="B302" s="145" t="s">
        <v>11</v>
      </c>
      <c r="C302" s="145"/>
      <c r="D302" s="146">
        <f t="shared" si="420"/>
        <v>0</v>
      </c>
      <c r="E302" s="146">
        <f t="shared" si="420"/>
        <v>0</v>
      </c>
      <c r="F302" s="146">
        <f t="shared" si="420"/>
        <v>0</v>
      </c>
      <c r="G302" s="352">
        <f t="shared" si="420"/>
        <v>0</v>
      </c>
      <c r="H302" s="352">
        <f t="shared" si="420"/>
        <v>0</v>
      </c>
      <c r="I302" s="352">
        <f t="shared" si="420"/>
        <v>0</v>
      </c>
      <c r="J302" s="350"/>
      <c r="K302" s="352">
        <f>K308+K368</f>
        <v>0</v>
      </c>
      <c r="L302" s="350"/>
      <c r="M302" s="354"/>
      <c r="N302" s="352"/>
      <c r="O302" s="352">
        <f t="shared" si="412"/>
        <v>0</v>
      </c>
      <c r="P302" s="354"/>
      <c r="Q302" s="146">
        <f t="shared" si="418"/>
        <v>0</v>
      </c>
      <c r="R302" s="146">
        <f t="shared" si="419"/>
        <v>0</v>
      </c>
      <c r="S302" s="374"/>
    </row>
    <row r="303" spans="1:19" s="107" customFormat="1" ht="46.5" x14ac:dyDescent="0.25">
      <c r="A303" s="152" t="s">
        <v>258</v>
      </c>
      <c r="B303" s="154" t="s">
        <v>88</v>
      </c>
      <c r="C303" s="154" t="s">
        <v>2</v>
      </c>
      <c r="D303" s="155">
        <f t="shared" ref="D303:I303" si="422">SUM(D304:D308)</f>
        <v>0</v>
      </c>
      <c r="E303" s="155">
        <f t="shared" si="422"/>
        <v>0</v>
      </c>
      <c r="F303" s="155">
        <f t="shared" si="422"/>
        <v>0</v>
      </c>
      <c r="G303" s="155">
        <f t="shared" si="422"/>
        <v>634.70000000000005</v>
      </c>
      <c r="H303" s="155">
        <f t="shared" si="422"/>
        <v>780.08</v>
      </c>
      <c r="I303" s="232">
        <f t="shared" si="422"/>
        <v>145.38</v>
      </c>
      <c r="J303" s="156">
        <f>I303/H303</f>
        <v>0.19</v>
      </c>
      <c r="K303" s="155">
        <f>SUM(K304:K308)</f>
        <v>0</v>
      </c>
      <c r="L303" s="182">
        <f>K303/H303</f>
        <v>0</v>
      </c>
      <c r="M303" s="73">
        <f>K303/I303</f>
        <v>0</v>
      </c>
      <c r="N303" s="155">
        <f t="shared" ref="N303" si="423">SUM(N304:N308)</f>
        <v>780.08</v>
      </c>
      <c r="O303" s="155">
        <f>H303-N303</f>
        <v>0</v>
      </c>
      <c r="P303" s="182">
        <f>N303/H303</f>
        <v>1</v>
      </c>
      <c r="Q303" s="155">
        <f t="shared" si="418"/>
        <v>780.08</v>
      </c>
      <c r="R303" s="155">
        <f t="shared" si="419"/>
        <v>145.38</v>
      </c>
      <c r="S303" s="372"/>
    </row>
    <row r="304" spans="1:19" s="107" customFormat="1" x14ac:dyDescent="0.25">
      <c r="A304" s="74"/>
      <c r="B304" s="80" t="s">
        <v>83</v>
      </c>
      <c r="C304" s="80"/>
      <c r="D304" s="81">
        <f t="shared" ref="D304:F308" si="424">D328</f>
        <v>0</v>
      </c>
      <c r="E304" s="81">
        <f t="shared" si="424"/>
        <v>0</v>
      </c>
      <c r="F304" s="81">
        <f t="shared" si="424"/>
        <v>0</v>
      </c>
      <c r="G304" s="81">
        <f t="shared" ref="G304:I308" si="425">G310+G340</f>
        <v>0</v>
      </c>
      <c r="H304" s="81">
        <f t="shared" si="425"/>
        <v>0</v>
      </c>
      <c r="I304" s="81">
        <f t="shared" si="425"/>
        <v>0</v>
      </c>
      <c r="J304" s="83"/>
      <c r="K304" s="81">
        <f>K310+K340</f>
        <v>0</v>
      </c>
      <c r="L304" s="84"/>
      <c r="M304" s="78"/>
      <c r="N304" s="81">
        <f>N310+N340</f>
        <v>0</v>
      </c>
      <c r="O304" s="81">
        <f t="shared" ref="O304:O307" si="426">O310</f>
        <v>0</v>
      </c>
      <c r="P304" s="44" t="e">
        <f t="shared" ref="P304:P374" si="427">N304/H304</f>
        <v>#DIV/0!</v>
      </c>
      <c r="Q304" s="81">
        <f t="shared" si="418"/>
        <v>0</v>
      </c>
      <c r="R304" s="81">
        <f t="shared" si="419"/>
        <v>0</v>
      </c>
      <c r="S304" s="373"/>
    </row>
    <row r="305" spans="1:19" s="107" customFormat="1" x14ac:dyDescent="0.25">
      <c r="A305" s="74"/>
      <c r="B305" s="75" t="s">
        <v>8</v>
      </c>
      <c r="C305" s="75"/>
      <c r="D305" s="76">
        <f t="shared" si="424"/>
        <v>0</v>
      </c>
      <c r="E305" s="76">
        <f t="shared" si="424"/>
        <v>0</v>
      </c>
      <c r="F305" s="76">
        <f t="shared" si="424"/>
        <v>0</v>
      </c>
      <c r="G305" s="81">
        <f t="shared" si="425"/>
        <v>634.70000000000005</v>
      </c>
      <c r="H305" s="81">
        <f t="shared" si="425"/>
        <v>780.08</v>
      </c>
      <c r="I305" s="81">
        <f t="shared" si="425"/>
        <v>145.38</v>
      </c>
      <c r="J305" s="77">
        <f>I305/H305</f>
        <v>0.19</v>
      </c>
      <c r="K305" s="81">
        <f>K311+K341</f>
        <v>0</v>
      </c>
      <c r="L305" s="78">
        <f>K305/H305</f>
        <v>0</v>
      </c>
      <c r="M305" s="78">
        <f>K305/I305</f>
        <v>0</v>
      </c>
      <c r="N305" s="81">
        <f>N311+N341</f>
        <v>780.08</v>
      </c>
      <c r="O305" s="81">
        <f t="shared" si="426"/>
        <v>0</v>
      </c>
      <c r="P305" s="78">
        <f t="shared" si="427"/>
        <v>1</v>
      </c>
      <c r="Q305" s="81">
        <f t="shared" si="418"/>
        <v>780.08</v>
      </c>
      <c r="R305" s="81">
        <f t="shared" si="419"/>
        <v>145.38</v>
      </c>
      <c r="S305" s="373"/>
    </row>
    <row r="306" spans="1:19" s="107" customFormat="1" x14ac:dyDescent="0.25">
      <c r="A306" s="74"/>
      <c r="B306" s="75" t="s">
        <v>19</v>
      </c>
      <c r="C306" s="75"/>
      <c r="D306" s="76">
        <f t="shared" si="424"/>
        <v>0</v>
      </c>
      <c r="E306" s="76">
        <f t="shared" si="424"/>
        <v>0</v>
      </c>
      <c r="F306" s="76">
        <f t="shared" si="424"/>
        <v>0</v>
      </c>
      <c r="G306" s="81">
        <f t="shared" si="425"/>
        <v>0</v>
      </c>
      <c r="H306" s="81">
        <f t="shared" si="425"/>
        <v>0</v>
      </c>
      <c r="I306" s="81">
        <f t="shared" si="425"/>
        <v>0</v>
      </c>
      <c r="J306" s="77"/>
      <c r="K306" s="81">
        <f>K312+K342</f>
        <v>0</v>
      </c>
      <c r="L306" s="78"/>
      <c r="M306" s="78"/>
      <c r="N306" s="81">
        <f>N312+N342</f>
        <v>0</v>
      </c>
      <c r="O306" s="81">
        <f t="shared" si="426"/>
        <v>0</v>
      </c>
      <c r="P306" s="39" t="e">
        <f t="shared" si="427"/>
        <v>#DIV/0!</v>
      </c>
      <c r="Q306" s="81">
        <f t="shared" si="418"/>
        <v>0</v>
      </c>
      <c r="R306" s="81">
        <f t="shared" si="419"/>
        <v>0</v>
      </c>
      <c r="S306" s="373"/>
    </row>
    <row r="307" spans="1:19" s="107" customFormat="1" x14ac:dyDescent="0.25">
      <c r="A307" s="74"/>
      <c r="B307" s="75" t="s">
        <v>22</v>
      </c>
      <c r="C307" s="75"/>
      <c r="D307" s="76">
        <f t="shared" si="424"/>
        <v>0</v>
      </c>
      <c r="E307" s="76">
        <f t="shared" si="424"/>
        <v>0</v>
      </c>
      <c r="F307" s="76">
        <f t="shared" si="424"/>
        <v>0</v>
      </c>
      <c r="G307" s="81">
        <f t="shared" si="425"/>
        <v>0</v>
      </c>
      <c r="H307" s="81">
        <f t="shared" si="425"/>
        <v>0</v>
      </c>
      <c r="I307" s="81">
        <f t="shared" si="425"/>
        <v>0</v>
      </c>
      <c r="J307" s="77"/>
      <c r="K307" s="81">
        <f>K313+K343</f>
        <v>0</v>
      </c>
      <c r="L307" s="78"/>
      <c r="M307" s="78"/>
      <c r="N307" s="81">
        <f>N313+N343</f>
        <v>0</v>
      </c>
      <c r="O307" s="81">
        <f t="shared" si="426"/>
        <v>0</v>
      </c>
      <c r="P307" s="39" t="e">
        <f t="shared" si="427"/>
        <v>#DIV/0!</v>
      </c>
      <c r="Q307" s="81">
        <f t="shared" si="418"/>
        <v>0</v>
      </c>
      <c r="R307" s="81">
        <f t="shared" si="419"/>
        <v>0</v>
      </c>
      <c r="S307" s="373"/>
    </row>
    <row r="308" spans="1:19" s="107" customFormat="1" x14ac:dyDescent="0.25">
      <c r="A308" s="188"/>
      <c r="B308" s="75" t="s">
        <v>11</v>
      </c>
      <c r="C308" s="75"/>
      <c r="D308" s="76">
        <f t="shared" si="424"/>
        <v>0</v>
      </c>
      <c r="E308" s="76">
        <f t="shared" si="424"/>
        <v>0</v>
      </c>
      <c r="F308" s="76">
        <f t="shared" si="424"/>
        <v>0</v>
      </c>
      <c r="G308" s="81">
        <f t="shared" si="425"/>
        <v>0</v>
      </c>
      <c r="H308" s="81">
        <f t="shared" si="425"/>
        <v>0</v>
      </c>
      <c r="I308" s="81">
        <f t="shared" si="425"/>
        <v>0</v>
      </c>
      <c r="J308" s="77"/>
      <c r="K308" s="81">
        <f>K314+K344</f>
        <v>0</v>
      </c>
      <c r="L308" s="78"/>
      <c r="M308" s="78"/>
      <c r="N308" s="81">
        <f>N314+N344</f>
        <v>0</v>
      </c>
      <c r="O308" s="81"/>
      <c r="P308" s="39" t="e">
        <f t="shared" si="427"/>
        <v>#DIV/0!</v>
      </c>
      <c r="Q308" s="81">
        <f t="shared" si="418"/>
        <v>0</v>
      </c>
      <c r="R308" s="81">
        <f t="shared" si="419"/>
        <v>0</v>
      </c>
      <c r="S308" s="374"/>
    </row>
    <row r="309" spans="1:19" s="166" customFormat="1" ht="69.75" customHeight="1" x14ac:dyDescent="0.25">
      <c r="A309" s="67" t="s">
        <v>259</v>
      </c>
      <c r="B309" s="68" t="s">
        <v>450</v>
      </c>
      <c r="C309" s="69" t="s">
        <v>17</v>
      </c>
      <c r="D309" s="70">
        <f t="shared" ref="D309:I309" si="428">SUM(D310:D315)</f>
        <v>0</v>
      </c>
      <c r="E309" s="70">
        <f t="shared" si="428"/>
        <v>0</v>
      </c>
      <c r="F309" s="70">
        <f t="shared" si="428"/>
        <v>0</v>
      </c>
      <c r="G309" s="70">
        <f>SUM(G310:G313)</f>
        <v>0</v>
      </c>
      <c r="H309" s="70">
        <f>SUM(H310:H313)</f>
        <v>145.38</v>
      </c>
      <c r="I309" s="71">
        <f t="shared" si="428"/>
        <v>145.38</v>
      </c>
      <c r="J309" s="72">
        <f>I309/H309</f>
        <v>1</v>
      </c>
      <c r="K309" s="70">
        <f>SUM(K310:K315)</f>
        <v>0</v>
      </c>
      <c r="L309" s="73">
        <f>K309/H309</f>
        <v>0</v>
      </c>
      <c r="M309" s="78">
        <f>K309/I309</f>
        <v>0</v>
      </c>
      <c r="N309" s="70">
        <f>SUM(N310:N313)</f>
        <v>145.38</v>
      </c>
      <c r="O309" s="70">
        <f>O311</f>
        <v>0</v>
      </c>
      <c r="P309" s="73">
        <f t="shared" ref="P309:P313" si="429">N309/H309</f>
        <v>1</v>
      </c>
      <c r="Q309" s="70">
        <f t="shared" si="418"/>
        <v>145.38</v>
      </c>
      <c r="R309" s="70">
        <f t="shared" si="419"/>
        <v>145.38</v>
      </c>
      <c r="S309" s="372"/>
    </row>
    <row r="310" spans="1:19" s="107" customFormat="1" ht="30.75" customHeight="1" x14ac:dyDescent="0.25">
      <c r="A310" s="74"/>
      <c r="B310" s="75" t="s">
        <v>83</v>
      </c>
      <c r="C310" s="75"/>
      <c r="D310" s="76"/>
      <c r="E310" s="76"/>
      <c r="F310" s="70"/>
      <c r="G310" s="76">
        <f>G316+G322+G328</f>
        <v>0</v>
      </c>
      <c r="H310" s="76">
        <f t="shared" ref="H310:I313" si="430">H316+H322+H328</f>
        <v>0</v>
      </c>
      <c r="I310" s="76">
        <f t="shared" si="430"/>
        <v>0</v>
      </c>
      <c r="J310" s="77"/>
      <c r="K310" s="76">
        <f>K316+K322+K328</f>
        <v>0</v>
      </c>
      <c r="L310" s="78"/>
      <c r="M310" s="78"/>
      <c r="N310" s="76">
        <f t="shared" ref="N310:O313" si="431">N316+N322+N328</f>
        <v>0</v>
      </c>
      <c r="O310" s="76">
        <f t="shared" si="431"/>
        <v>0</v>
      </c>
      <c r="P310" s="39" t="e">
        <f t="shared" si="429"/>
        <v>#DIV/0!</v>
      </c>
      <c r="Q310" s="76">
        <f t="shared" si="418"/>
        <v>0</v>
      </c>
      <c r="R310" s="79">
        <f t="shared" si="419"/>
        <v>0</v>
      </c>
      <c r="S310" s="373"/>
    </row>
    <row r="311" spans="1:19" s="107" customFormat="1" ht="30.75" customHeight="1" x14ac:dyDescent="0.25">
      <c r="A311" s="74"/>
      <c r="B311" s="75" t="s">
        <v>8</v>
      </c>
      <c r="C311" s="75"/>
      <c r="D311" s="76"/>
      <c r="E311" s="76"/>
      <c r="F311" s="70">
        <f>SUM(F312:F326)</f>
        <v>0</v>
      </c>
      <c r="G311" s="76">
        <f>G317+G323+G329+G335</f>
        <v>0</v>
      </c>
      <c r="H311" s="76">
        <f>H317+H323+H329+H335</f>
        <v>145.38</v>
      </c>
      <c r="I311" s="76">
        <f t="shared" ref="I311:L311" si="432">I317+I323+I329+I335</f>
        <v>145.38</v>
      </c>
      <c r="J311" s="37" t="e">
        <f t="shared" si="432"/>
        <v>#DIV/0!</v>
      </c>
      <c r="K311" s="37">
        <f t="shared" si="432"/>
        <v>0</v>
      </c>
      <c r="L311" s="37" t="e">
        <f t="shared" si="432"/>
        <v>#DIV/0!</v>
      </c>
      <c r="M311" s="78">
        <f>K311/I311</f>
        <v>0</v>
      </c>
      <c r="N311" s="76">
        <f>I311</f>
        <v>145.38</v>
      </c>
      <c r="O311" s="76">
        <f>I311-H311</f>
        <v>0</v>
      </c>
      <c r="P311" s="78">
        <f t="shared" si="429"/>
        <v>1</v>
      </c>
      <c r="Q311" s="233">
        <f t="shared" si="418"/>
        <v>145.38</v>
      </c>
      <c r="R311" s="233">
        <f t="shared" si="419"/>
        <v>145.38</v>
      </c>
      <c r="S311" s="373"/>
    </row>
    <row r="312" spans="1:19" s="107" customFormat="1" ht="30.75" customHeight="1" x14ac:dyDescent="0.25">
      <c r="A312" s="74"/>
      <c r="B312" s="75" t="s">
        <v>19</v>
      </c>
      <c r="C312" s="75"/>
      <c r="D312" s="76"/>
      <c r="E312" s="76"/>
      <c r="F312" s="79"/>
      <c r="G312" s="76">
        <f>G318+G324+G330</f>
        <v>0</v>
      </c>
      <c r="H312" s="76">
        <f t="shared" si="430"/>
        <v>0</v>
      </c>
      <c r="I312" s="76">
        <f t="shared" si="430"/>
        <v>0</v>
      </c>
      <c r="J312" s="77"/>
      <c r="K312" s="76">
        <f>K318+K324+K330</f>
        <v>0</v>
      </c>
      <c r="L312" s="78"/>
      <c r="M312" s="78"/>
      <c r="N312" s="76">
        <f t="shared" si="431"/>
        <v>0</v>
      </c>
      <c r="O312" s="76">
        <f t="shared" si="431"/>
        <v>0</v>
      </c>
      <c r="P312" s="39" t="e">
        <f t="shared" si="429"/>
        <v>#DIV/0!</v>
      </c>
      <c r="Q312" s="76">
        <f t="shared" si="418"/>
        <v>0</v>
      </c>
      <c r="R312" s="76">
        <f t="shared" si="419"/>
        <v>0</v>
      </c>
      <c r="S312" s="373"/>
    </row>
    <row r="313" spans="1:19" s="107" customFormat="1" ht="30.75" customHeight="1" x14ac:dyDescent="0.25">
      <c r="A313" s="74"/>
      <c r="B313" s="80" t="s">
        <v>22</v>
      </c>
      <c r="C313" s="80"/>
      <c r="D313" s="81"/>
      <c r="E313" s="81"/>
      <c r="F313" s="82"/>
      <c r="G313" s="76">
        <f>G319+G325+G331</f>
        <v>0</v>
      </c>
      <c r="H313" s="76">
        <f t="shared" si="430"/>
        <v>0</v>
      </c>
      <c r="I313" s="76">
        <f t="shared" si="430"/>
        <v>0</v>
      </c>
      <c r="J313" s="83"/>
      <c r="K313" s="76">
        <f>K319+K325+K331</f>
        <v>0</v>
      </c>
      <c r="L313" s="84"/>
      <c r="M313" s="84"/>
      <c r="N313" s="76">
        <f t="shared" si="431"/>
        <v>0</v>
      </c>
      <c r="O313" s="76">
        <f t="shared" si="431"/>
        <v>0</v>
      </c>
      <c r="P313" s="44" t="e">
        <f t="shared" si="429"/>
        <v>#DIV/0!</v>
      </c>
      <c r="Q313" s="81">
        <f t="shared" si="418"/>
        <v>0</v>
      </c>
      <c r="R313" s="82">
        <f t="shared" si="419"/>
        <v>0</v>
      </c>
      <c r="S313" s="373"/>
    </row>
    <row r="314" spans="1:19" s="107" customFormat="1" ht="30.75" customHeight="1" x14ac:dyDescent="0.25">
      <c r="A314" s="74"/>
      <c r="B314" s="75" t="s">
        <v>11</v>
      </c>
      <c r="C314" s="80"/>
      <c r="D314" s="81"/>
      <c r="E314" s="81"/>
      <c r="F314" s="82"/>
      <c r="G314" s="76"/>
      <c r="H314" s="76"/>
      <c r="I314" s="76"/>
      <c r="J314" s="83"/>
      <c r="K314" s="76"/>
      <c r="L314" s="84"/>
      <c r="M314" s="84"/>
      <c r="N314" s="76"/>
      <c r="O314" s="76"/>
      <c r="P314" s="84"/>
      <c r="Q314" s="81"/>
      <c r="R314" s="82"/>
      <c r="S314" s="85"/>
    </row>
    <row r="315" spans="1:19" s="166" customFormat="1" ht="93" x14ac:dyDescent="0.25">
      <c r="A315" s="67" t="s">
        <v>260</v>
      </c>
      <c r="B315" s="68" t="s">
        <v>326</v>
      </c>
      <c r="C315" s="69" t="s">
        <v>17</v>
      </c>
      <c r="D315" s="70">
        <f t="shared" ref="D315:I315" si="433">SUM(D316:D320)</f>
        <v>0</v>
      </c>
      <c r="E315" s="70">
        <f t="shared" si="433"/>
        <v>0</v>
      </c>
      <c r="F315" s="70">
        <f t="shared" si="433"/>
        <v>0</v>
      </c>
      <c r="G315" s="70">
        <f t="shared" si="433"/>
        <v>0</v>
      </c>
      <c r="H315" s="70">
        <f t="shared" si="433"/>
        <v>0</v>
      </c>
      <c r="I315" s="71">
        <f t="shared" si="433"/>
        <v>0</v>
      </c>
      <c r="J315" s="329" t="e">
        <f>I315/H315</f>
        <v>#DIV/0!</v>
      </c>
      <c r="K315" s="70">
        <f>SUM(K316:K320)</f>
        <v>0</v>
      </c>
      <c r="L315" s="56" t="e">
        <f>K315/H315</f>
        <v>#DIV/0!</v>
      </c>
      <c r="M315" s="39" t="e">
        <f>K315/I315</f>
        <v>#DIV/0!</v>
      </c>
      <c r="N315" s="330">
        <f>SUM(N316:N320)</f>
        <v>0</v>
      </c>
      <c r="O315" s="330">
        <f t="shared" si="412"/>
        <v>0</v>
      </c>
      <c r="P315" s="56" t="e">
        <f t="shared" si="427"/>
        <v>#DIV/0!</v>
      </c>
      <c r="Q315" s="70">
        <f t="shared" si="418"/>
        <v>0</v>
      </c>
      <c r="R315" s="70">
        <f t="shared" si="419"/>
        <v>0</v>
      </c>
      <c r="S315" s="378"/>
    </row>
    <row r="316" spans="1:19" s="107" customFormat="1" ht="30.75" customHeight="1" x14ac:dyDescent="0.25">
      <c r="A316" s="74"/>
      <c r="B316" s="75" t="s">
        <v>83</v>
      </c>
      <c r="C316" s="75"/>
      <c r="D316" s="76"/>
      <c r="E316" s="76"/>
      <c r="F316" s="70"/>
      <c r="G316" s="76"/>
      <c r="H316" s="79"/>
      <c r="I316" s="161"/>
      <c r="J316" s="38"/>
      <c r="K316" s="76"/>
      <c r="L316" s="39"/>
      <c r="M316" s="39"/>
      <c r="N316" s="37"/>
      <c r="O316" s="60">
        <f t="shared" si="412"/>
        <v>0</v>
      </c>
      <c r="P316" s="39" t="e">
        <f t="shared" si="427"/>
        <v>#DIV/0!</v>
      </c>
      <c r="Q316" s="76">
        <f t="shared" si="418"/>
        <v>0</v>
      </c>
      <c r="R316" s="79">
        <f t="shared" si="419"/>
        <v>0</v>
      </c>
      <c r="S316" s="379"/>
    </row>
    <row r="317" spans="1:19" s="107" customFormat="1" ht="29.25" customHeight="1" x14ac:dyDescent="0.25">
      <c r="A317" s="74"/>
      <c r="B317" s="75" t="s">
        <v>8</v>
      </c>
      <c r="C317" s="75"/>
      <c r="D317" s="76"/>
      <c r="E317" s="76"/>
      <c r="F317" s="70">
        <f>SUM(F318:F328)</f>
        <v>0</v>
      </c>
      <c r="G317" s="233">
        <v>0</v>
      </c>
      <c r="H317" s="233"/>
      <c r="I317" s="233"/>
      <c r="J317" s="334">
        <f t="shared" ref="J317" si="434">IF(H317=0,0,I317/H317)</f>
        <v>0</v>
      </c>
      <c r="K317" s="233"/>
      <c r="L317" s="39" t="e">
        <f>K317/H317</f>
        <v>#DIV/0!</v>
      </c>
      <c r="M317" s="39" t="e">
        <f>K317/I317</f>
        <v>#DIV/0!</v>
      </c>
      <c r="N317" s="37">
        <f>H317</f>
        <v>0</v>
      </c>
      <c r="O317" s="37">
        <f t="shared" si="412"/>
        <v>0</v>
      </c>
      <c r="P317" s="39" t="e">
        <f t="shared" si="427"/>
        <v>#DIV/0!</v>
      </c>
      <c r="Q317" s="233">
        <f t="shared" si="418"/>
        <v>0</v>
      </c>
      <c r="R317" s="233">
        <f t="shared" si="419"/>
        <v>0</v>
      </c>
      <c r="S317" s="379"/>
    </row>
    <row r="318" spans="1:19" s="107" customFormat="1" x14ac:dyDescent="0.25">
      <c r="A318" s="74"/>
      <c r="B318" s="75" t="s">
        <v>19</v>
      </c>
      <c r="C318" s="75"/>
      <c r="D318" s="76"/>
      <c r="E318" s="76"/>
      <c r="F318" s="79"/>
      <c r="G318" s="76"/>
      <c r="H318" s="76"/>
      <c r="I318" s="161"/>
      <c r="J318" s="38"/>
      <c r="K318" s="76"/>
      <c r="L318" s="39"/>
      <c r="M318" s="39"/>
      <c r="N318" s="37"/>
      <c r="O318" s="37">
        <f t="shared" si="412"/>
        <v>0</v>
      </c>
      <c r="P318" s="39" t="e">
        <f t="shared" si="427"/>
        <v>#DIV/0!</v>
      </c>
      <c r="Q318" s="76">
        <f t="shared" si="418"/>
        <v>0</v>
      </c>
      <c r="R318" s="76">
        <f t="shared" si="419"/>
        <v>0</v>
      </c>
      <c r="S318" s="379"/>
    </row>
    <row r="319" spans="1:19" s="107" customFormat="1" x14ac:dyDescent="0.25">
      <c r="A319" s="74"/>
      <c r="B319" s="80" t="s">
        <v>22</v>
      </c>
      <c r="C319" s="80"/>
      <c r="D319" s="81"/>
      <c r="E319" s="81"/>
      <c r="F319" s="82"/>
      <c r="G319" s="81"/>
      <c r="H319" s="82"/>
      <c r="I319" s="113"/>
      <c r="J319" s="43"/>
      <c r="K319" s="81"/>
      <c r="L319" s="44"/>
      <c r="M319" s="44"/>
      <c r="N319" s="41"/>
      <c r="O319" s="332">
        <f t="shared" si="412"/>
        <v>0</v>
      </c>
      <c r="P319" s="44" t="e">
        <f t="shared" si="427"/>
        <v>#DIV/0!</v>
      </c>
      <c r="Q319" s="81">
        <f t="shared" si="418"/>
        <v>0</v>
      </c>
      <c r="R319" s="82">
        <f t="shared" si="419"/>
        <v>0</v>
      </c>
      <c r="S319" s="379"/>
    </row>
    <row r="320" spans="1:19" s="107" customFormat="1" x14ac:dyDescent="0.25">
      <c r="A320" s="188"/>
      <c r="B320" s="80" t="s">
        <v>11</v>
      </c>
      <c r="C320" s="80"/>
      <c r="D320" s="81"/>
      <c r="E320" s="81"/>
      <c r="F320" s="82"/>
      <c r="G320" s="81"/>
      <c r="H320" s="82"/>
      <c r="I320" s="113"/>
      <c r="J320" s="43"/>
      <c r="K320" s="81"/>
      <c r="L320" s="44"/>
      <c r="M320" s="44"/>
      <c r="N320" s="41"/>
      <c r="O320" s="332">
        <f t="shared" si="412"/>
        <v>0</v>
      </c>
      <c r="P320" s="44" t="e">
        <f t="shared" si="427"/>
        <v>#DIV/0!</v>
      </c>
      <c r="Q320" s="81">
        <f t="shared" si="418"/>
        <v>0</v>
      </c>
      <c r="R320" s="82">
        <f t="shared" si="419"/>
        <v>0</v>
      </c>
      <c r="S320" s="380"/>
    </row>
    <row r="321" spans="1:19" s="107" customFormat="1" ht="69.75" x14ac:dyDescent="0.25">
      <c r="A321" s="67" t="s">
        <v>261</v>
      </c>
      <c r="B321" s="68" t="s">
        <v>327</v>
      </c>
      <c r="C321" s="69" t="s">
        <v>17</v>
      </c>
      <c r="D321" s="70">
        <f t="shared" ref="D321:I321" si="435">SUM(D322:D326)</f>
        <v>0</v>
      </c>
      <c r="E321" s="70">
        <f t="shared" si="435"/>
        <v>0</v>
      </c>
      <c r="F321" s="70">
        <f t="shared" si="435"/>
        <v>0</v>
      </c>
      <c r="G321" s="70">
        <f t="shared" si="435"/>
        <v>0</v>
      </c>
      <c r="H321" s="70">
        <f t="shared" si="435"/>
        <v>0</v>
      </c>
      <c r="I321" s="71">
        <f t="shared" si="435"/>
        <v>0</v>
      </c>
      <c r="J321" s="329" t="e">
        <f>I321/H321</f>
        <v>#DIV/0!</v>
      </c>
      <c r="K321" s="70">
        <f>SUM(K322:K326)</f>
        <v>0</v>
      </c>
      <c r="L321" s="56" t="e">
        <f>K321/H321</f>
        <v>#DIV/0!</v>
      </c>
      <c r="M321" s="39" t="e">
        <f>K321/I321</f>
        <v>#DIV/0!</v>
      </c>
      <c r="N321" s="330">
        <f>SUM(N322:N326)</f>
        <v>0</v>
      </c>
      <c r="O321" s="37">
        <f t="shared" si="412"/>
        <v>0</v>
      </c>
      <c r="P321" s="56" t="e">
        <f t="shared" si="427"/>
        <v>#DIV/0!</v>
      </c>
      <c r="Q321" s="70">
        <f t="shared" si="418"/>
        <v>0</v>
      </c>
      <c r="R321" s="70">
        <f t="shared" si="419"/>
        <v>0</v>
      </c>
      <c r="S321" s="372"/>
    </row>
    <row r="322" spans="1:19" s="107" customFormat="1" x14ac:dyDescent="0.25">
      <c r="A322" s="167"/>
      <c r="B322" s="75" t="s">
        <v>83</v>
      </c>
      <c r="C322" s="75"/>
      <c r="D322" s="76"/>
      <c r="E322" s="76"/>
      <c r="F322" s="70"/>
      <c r="G322" s="76"/>
      <c r="H322" s="76"/>
      <c r="I322" s="76"/>
      <c r="J322" s="38"/>
      <c r="K322" s="76"/>
      <c r="L322" s="39"/>
      <c r="M322" s="39" t="e">
        <f>K322/I322</f>
        <v>#DIV/0!</v>
      </c>
      <c r="N322" s="37"/>
      <c r="O322" s="37">
        <f t="shared" si="412"/>
        <v>0</v>
      </c>
      <c r="P322" s="39" t="e">
        <f t="shared" si="427"/>
        <v>#DIV/0!</v>
      </c>
      <c r="Q322" s="76">
        <f t="shared" si="418"/>
        <v>0</v>
      </c>
      <c r="R322" s="76">
        <f t="shared" si="419"/>
        <v>0</v>
      </c>
      <c r="S322" s="373"/>
    </row>
    <row r="323" spans="1:19" s="107" customFormat="1" x14ac:dyDescent="0.25">
      <c r="A323" s="167"/>
      <c r="B323" s="75" t="s">
        <v>8</v>
      </c>
      <c r="C323" s="75"/>
      <c r="D323" s="76"/>
      <c r="E323" s="76"/>
      <c r="F323" s="70">
        <f>SUM(F324:F332)</f>
        <v>0</v>
      </c>
      <c r="G323" s="76">
        <v>0</v>
      </c>
      <c r="H323" s="76"/>
      <c r="I323" s="76"/>
      <c r="J323" s="38" t="e">
        <f>I323/H323</f>
        <v>#DIV/0!</v>
      </c>
      <c r="K323" s="76"/>
      <c r="L323" s="39" t="e">
        <f>K323/H323</f>
        <v>#DIV/0!</v>
      </c>
      <c r="M323" s="39" t="e">
        <f>K323/I323</f>
        <v>#DIV/0!</v>
      </c>
      <c r="N323" s="37">
        <f>H323</f>
        <v>0</v>
      </c>
      <c r="O323" s="37">
        <f t="shared" si="412"/>
        <v>0</v>
      </c>
      <c r="P323" s="39" t="e">
        <f t="shared" si="427"/>
        <v>#DIV/0!</v>
      </c>
      <c r="Q323" s="76">
        <f t="shared" si="418"/>
        <v>0</v>
      </c>
      <c r="R323" s="76">
        <f t="shared" si="419"/>
        <v>0</v>
      </c>
      <c r="S323" s="373"/>
    </row>
    <row r="324" spans="1:19" s="107" customFormat="1" x14ac:dyDescent="0.25">
      <c r="A324" s="167"/>
      <c r="B324" s="75" t="s">
        <v>19</v>
      </c>
      <c r="C324" s="75"/>
      <c r="D324" s="76"/>
      <c r="E324" s="76"/>
      <c r="F324" s="79"/>
      <c r="G324" s="76"/>
      <c r="H324" s="76"/>
      <c r="I324" s="76"/>
      <c r="J324" s="38"/>
      <c r="K324" s="76"/>
      <c r="L324" s="39"/>
      <c r="M324" s="39"/>
      <c r="N324" s="37"/>
      <c r="O324" s="37">
        <f t="shared" si="412"/>
        <v>0</v>
      </c>
      <c r="P324" s="39" t="e">
        <f t="shared" si="427"/>
        <v>#DIV/0!</v>
      </c>
      <c r="Q324" s="76">
        <f t="shared" si="418"/>
        <v>0</v>
      </c>
      <c r="R324" s="76">
        <f t="shared" si="419"/>
        <v>0</v>
      </c>
      <c r="S324" s="373"/>
    </row>
    <row r="325" spans="1:19" s="107" customFormat="1" x14ac:dyDescent="0.25">
      <c r="A325" s="167"/>
      <c r="B325" s="80" t="s">
        <v>22</v>
      </c>
      <c r="C325" s="80"/>
      <c r="D325" s="81"/>
      <c r="E325" s="81"/>
      <c r="F325" s="82"/>
      <c r="G325" s="76"/>
      <c r="H325" s="76"/>
      <c r="I325" s="76"/>
      <c r="J325" s="43"/>
      <c r="K325" s="76"/>
      <c r="L325" s="44"/>
      <c r="M325" s="44"/>
      <c r="N325" s="37"/>
      <c r="O325" s="37">
        <f t="shared" si="412"/>
        <v>0</v>
      </c>
      <c r="P325" s="44" t="e">
        <f t="shared" si="427"/>
        <v>#DIV/0!</v>
      </c>
      <c r="Q325" s="76">
        <f t="shared" si="418"/>
        <v>0</v>
      </c>
      <c r="R325" s="76">
        <f t="shared" si="419"/>
        <v>0</v>
      </c>
      <c r="S325" s="373"/>
    </row>
    <row r="326" spans="1:19" s="107" customFormat="1" x14ac:dyDescent="0.25">
      <c r="A326" s="168"/>
      <c r="B326" s="75" t="s">
        <v>11</v>
      </c>
      <c r="C326" s="75"/>
      <c r="D326" s="76"/>
      <c r="E326" s="76"/>
      <c r="F326" s="79"/>
      <c r="G326" s="76"/>
      <c r="H326" s="76"/>
      <c r="I326" s="76"/>
      <c r="J326" s="38"/>
      <c r="K326" s="76"/>
      <c r="L326" s="39"/>
      <c r="M326" s="39"/>
      <c r="N326" s="37"/>
      <c r="O326" s="37">
        <f t="shared" si="412"/>
        <v>0</v>
      </c>
      <c r="P326" s="39" t="e">
        <f t="shared" si="427"/>
        <v>#DIV/0!</v>
      </c>
      <c r="Q326" s="76">
        <f t="shared" si="418"/>
        <v>0</v>
      </c>
      <c r="R326" s="76">
        <f t="shared" si="419"/>
        <v>0</v>
      </c>
      <c r="S326" s="374"/>
    </row>
    <row r="327" spans="1:19" s="107" customFormat="1" ht="69.75" x14ac:dyDescent="0.25">
      <c r="A327" s="187" t="s">
        <v>262</v>
      </c>
      <c r="B327" s="68" t="s">
        <v>391</v>
      </c>
      <c r="C327" s="69" t="s">
        <v>17</v>
      </c>
      <c r="D327" s="70">
        <f t="shared" ref="D327:I327" si="436">SUM(D328:D332)</f>
        <v>0</v>
      </c>
      <c r="E327" s="70">
        <f t="shared" si="436"/>
        <v>0</v>
      </c>
      <c r="F327" s="70">
        <f t="shared" si="436"/>
        <v>0</v>
      </c>
      <c r="G327" s="70">
        <f t="shared" si="436"/>
        <v>0</v>
      </c>
      <c r="H327" s="70">
        <f t="shared" si="436"/>
        <v>0</v>
      </c>
      <c r="I327" s="71">
        <f t="shared" si="436"/>
        <v>0</v>
      </c>
      <c r="J327" s="329" t="e">
        <f>I327/H327</f>
        <v>#DIV/0!</v>
      </c>
      <c r="K327" s="70">
        <f>SUM(K328:K332)</f>
        <v>0</v>
      </c>
      <c r="L327" s="56" t="e">
        <f>K327/H327</f>
        <v>#DIV/0!</v>
      </c>
      <c r="M327" s="56" t="e">
        <f t="shared" ref="M327:M362" si="437">K327/I327</f>
        <v>#DIV/0!</v>
      </c>
      <c r="N327" s="330">
        <f>SUM(N328:N332)</f>
        <v>0</v>
      </c>
      <c r="O327" s="330">
        <f t="shared" si="412"/>
        <v>0</v>
      </c>
      <c r="P327" s="39" t="e">
        <f t="shared" si="427"/>
        <v>#DIV/0!</v>
      </c>
      <c r="Q327" s="76">
        <f t="shared" si="418"/>
        <v>0</v>
      </c>
      <c r="R327" s="76">
        <f t="shared" si="419"/>
        <v>0</v>
      </c>
      <c r="S327" s="402"/>
    </row>
    <row r="328" spans="1:19" s="107" customFormat="1" ht="27" customHeight="1" x14ac:dyDescent="0.25">
      <c r="A328" s="167"/>
      <c r="B328" s="75" t="s">
        <v>83</v>
      </c>
      <c r="C328" s="75"/>
      <c r="D328" s="76"/>
      <c r="E328" s="76"/>
      <c r="F328" s="70"/>
      <c r="G328" s="76"/>
      <c r="H328" s="79"/>
      <c r="I328" s="161"/>
      <c r="J328" s="38"/>
      <c r="K328" s="76"/>
      <c r="L328" s="39"/>
      <c r="M328" s="39" t="e">
        <f t="shared" si="437"/>
        <v>#DIV/0!</v>
      </c>
      <c r="N328" s="37"/>
      <c r="O328" s="60">
        <f t="shared" si="412"/>
        <v>0</v>
      </c>
      <c r="P328" s="39" t="e">
        <f t="shared" si="427"/>
        <v>#DIV/0!</v>
      </c>
      <c r="Q328" s="76">
        <f t="shared" si="418"/>
        <v>0</v>
      </c>
      <c r="R328" s="79">
        <f t="shared" si="419"/>
        <v>0</v>
      </c>
      <c r="S328" s="403"/>
    </row>
    <row r="329" spans="1:19" s="107" customFormat="1" ht="27" customHeight="1" x14ac:dyDescent="0.25">
      <c r="A329" s="167"/>
      <c r="B329" s="75" t="s">
        <v>8</v>
      </c>
      <c r="C329" s="75"/>
      <c r="D329" s="76"/>
      <c r="E329" s="76"/>
      <c r="F329" s="70">
        <f>SUM(F330:F364)</f>
        <v>0</v>
      </c>
      <c r="G329" s="233">
        <v>0</v>
      </c>
      <c r="H329" s="233"/>
      <c r="I329" s="233"/>
      <c r="J329" s="38" t="e">
        <f t="shared" ref="J329:J363" si="438">I329/H329</f>
        <v>#DIV/0!</v>
      </c>
      <c r="K329" s="233"/>
      <c r="L329" s="39" t="e">
        <f t="shared" ref="L329:L363" si="439">K329/H329</f>
        <v>#DIV/0!</v>
      </c>
      <c r="M329" s="39" t="e">
        <f t="shared" si="437"/>
        <v>#DIV/0!</v>
      </c>
      <c r="N329" s="37">
        <f>H329</f>
        <v>0</v>
      </c>
      <c r="O329" s="37">
        <f t="shared" si="412"/>
        <v>0</v>
      </c>
      <c r="P329" s="39" t="e">
        <f t="shared" si="427"/>
        <v>#DIV/0!</v>
      </c>
      <c r="Q329" s="233">
        <f t="shared" si="418"/>
        <v>0</v>
      </c>
      <c r="R329" s="233">
        <f t="shared" si="419"/>
        <v>0</v>
      </c>
      <c r="S329" s="403"/>
    </row>
    <row r="330" spans="1:19" s="107" customFormat="1" ht="27" customHeight="1" x14ac:dyDescent="0.25">
      <c r="A330" s="167"/>
      <c r="B330" s="75" t="s">
        <v>19</v>
      </c>
      <c r="C330" s="75"/>
      <c r="D330" s="76"/>
      <c r="E330" s="76"/>
      <c r="F330" s="79"/>
      <c r="G330" s="76"/>
      <c r="H330" s="76"/>
      <c r="I330" s="161"/>
      <c r="J330" s="38" t="e">
        <f t="shared" si="438"/>
        <v>#DIV/0!</v>
      </c>
      <c r="K330" s="76"/>
      <c r="L330" s="39" t="e">
        <f t="shared" si="439"/>
        <v>#DIV/0!</v>
      </c>
      <c r="M330" s="39" t="e">
        <f t="shared" si="437"/>
        <v>#DIV/0!</v>
      </c>
      <c r="N330" s="37"/>
      <c r="O330" s="37">
        <f t="shared" si="412"/>
        <v>0</v>
      </c>
      <c r="P330" s="39" t="e">
        <f t="shared" si="427"/>
        <v>#DIV/0!</v>
      </c>
      <c r="Q330" s="76">
        <f t="shared" si="418"/>
        <v>0</v>
      </c>
      <c r="R330" s="76">
        <f t="shared" si="419"/>
        <v>0</v>
      </c>
      <c r="S330" s="403"/>
    </row>
    <row r="331" spans="1:19" s="107" customFormat="1" ht="27" customHeight="1" x14ac:dyDescent="0.25">
      <c r="A331" s="167"/>
      <c r="B331" s="80" t="s">
        <v>22</v>
      </c>
      <c r="C331" s="80"/>
      <c r="D331" s="81"/>
      <c r="E331" s="81"/>
      <c r="F331" s="82"/>
      <c r="G331" s="81"/>
      <c r="H331" s="82"/>
      <c r="I331" s="113"/>
      <c r="J331" s="38" t="e">
        <f t="shared" si="438"/>
        <v>#DIV/0!</v>
      </c>
      <c r="K331" s="81"/>
      <c r="L331" s="39" t="e">
        <f t="shared" si="439"/>
        <v>#DIV/0!</v>
      </c>
      <c r="M331" s="39" t="e">
        <f t="shared" si="437"/>
        <v>#DIV/0!</v>
      </c>
      <c r="N331" s="41"/>
      <c r="O331" s="332">
        <f t="shared" si="412"/>
        <v>0</v>
      </c>
      <c r="P331" s="44" t="e">
        <f t="shared" si="427"/>
        <v>#DIV/0!</v>
      </c>
      <c r="Q331" s="81">
        <f t="shared" si="418"/>
        <v>0</v>
      </c>
      <c r="R331" s="82">
        <f t="shared" si="419"/>
        <v>0</v>
      </c>
      <c r="S331" s="403"/>
    </row>
    <row r="332" spans="1:19" s="107" customFormat="1" ht="27" customHeight="1" x14ac:dyDescent="0.25">
      <c r="A332" s="168"/>
      <c r="B332" s="75" t="s">
        <v>11</v>
      </c>
      <c r="C332" s="75"/>
      <c r="D332" s="76"/>
      <c r="E332" s="76"/>
      <c r="F332" s="79"/>
      <c r="G332" s="76"/>
      <c r="H332" s="79"/>
      <c r="I332" s="161"/>
      <c r="J332" s="38" t="e">
        <f t="shared" si="438"/>
        <v>#DIV/0!</v>
      </c>
      <c r="K332" s="76"/>
      <c r="L332" s="39" t="e">
        <f t="shared" si="439"/>
        <v>#DIV/0!</v>
      </c>
      <c r="M332" s="39" t="e">
        <f t="shared" si="437"/>
        <v>#DIV/0!</v>
      </c>
      <c r="N332" s="37"/>
      <c r="O332" s="60">
        <f t="shared" si="412"/>
        <v>0</v>
      </c>
      <c r="P332" s="44" t="e">
        <f t="shared" ref="P332:P362" si="440">N332/H332</f>
        <v>#DIV/0!</v>
      </c>
      <c r="Q332" s="76">
        <f t="shared" si="418"/>
        <v>0</v>
      </c>
      <c r="R332" s="79">
        <f t="shared" si="419"/>
        <v>0</v>
      </c>
      <c r="S332" s="404"/>
    </row>
    <row r="333" spans="1:19" s="107" customFormat="1" ht="87" customHeight="1" x14ac:dyDescent="0.25">
      <c r="A333" s="187" t="s">
        <v>428</v>
      </c>
      <c r="B333" s="68" t="s">
        <v>430</v>
      </c>
      <c r="C333" s="69" t="s">
        <v>17</v>
      </c>
      <c r="D333" s="76"/>
      <c r="E333" s="76"/>
      <c r="F333" s="79"/>
      <c r="G333" s="76">
        <f>SUM(G334:G338)</f>
        <v>0</v>
      </c>
      <c r="H333" s="76">
        <f t="shared" ref="H333:R333" si="441">SUM(H334:H338)</f>
        <v>145.38</v>
      </c>
      <c r="I333" s="76">
        <f t="shared" si="441"/>
        <v>145.38</v>
      </c>
      <c r="J333" s="76">
        <f t="shared" si="441"/>
        <v>0</v>
      </c>
      <c r="K333" s="76">
        <f t="shared" si="441"/>
        <v>0</v>
      </c>
      <c r="L333" s="76">
        <f t="shared" si="441"/>
        <v>0</v>
      </c>
      <c r="M333" s="76">
        <f t="shared" si="441"/>
        <v>0</v>
      </c>
      <c r="N333" s="76">
        <f t="shared" si="441"/>
        <v>145.38</v>
      </c>
      <c r="O333" s="76">
        <f t="shared" si="441"/>
        <v>0</v>
      </c>
      <c r="P333" s="84">
        <f t="shared" si="440"/>
        <v>1</v>
      </c>
      <c r="Q333" s="76">
        <f t="shared" si="441"/>
        <v>0</v>
      </c>
      <c r="R333" s="76">
        <f t="shared" si="441"/>
        <v>0</v>
      </c>
      <c r="S333" s="234"/>
    </row>
    <row r="334" spans="1:19" s="107" customFormat="1" ht="27" customHeight="1" x14ac:dyDescent="0.25">
      <c r="A334" s="167"/>
      <c r="B334" s="75" t="s">
        <v>83</v>
      </c>
      <c r="C334" s="75"/>
      <c r="D334" s="76"/>
      <c r="E334" s="76"/>
      <c r="F334" s="79"/>
      <c r="G334" s="76"/>
      <c r="H334" s="79"/>
      <c r="I334" s="161"/>
      <c r="J334" s="77"/>
      <c r="K334" s="76"/>
      <c r="L334" s="78"/>
      <c r="M334" s="78"/>
      <c r="N334" s="76"/>
      <c r="O334" s="79"/>
      <c r="P334" s="84"/>
      <c r="Q334" s="76"/>
      <c r="R334" s="79"/>
      <c r="S334" s="234"/>
    </row>
    <row r="335" spans="1:19" s="107" customFormat="1" ht="27" customHeight="1" x14ac:dyDescent="0.25">
      <c r="A335" s="167"/>
      <c r="B335" s="75" t="s">
        <v>8</v>
      </c>
      <c r="C335" s="75"/>
      <c r="D335" s="76"/>
      <c r="E335" s="76"/>
      <c r="F335" s="79"/>
      <c r="G335" s="76"/>
      <c r="H335" s="79">
        <v>145.38</v>
      </c>
      <c r="I335" s="161">
        <v>145.38</v>
      </c>
      <c r="J335" s="77"/>
      <c r="K335" s="76"/>
      <c r="L335" s="78"/>
      <c r="M335" s="78"/>
      <c r="N335" s="76">
        <v>145.38</v>
      </c>
      <c r="O335" s="79">
        <f>H335-N335</f>
        <v>0</v>
      </c>
      <c r="P335" s="84">
        <f t="shared" si="440"/>
        <v>1</v>
      </c>
      <c r="Q335" s="76"/>
      <c r="R335" s="79"/>
      <c r="S335" s="234"/>
    </row>
    <row r="336" spans="1:19" s="107" customFormat="1" ht="27" customHeight="1" x14ac:dyDescent="0.25">
      <c r="A336" s="167"/>
      <c r="B336" s="75" t="s">
        <v>19</v>
      </c>
      <c r="C336" s="75"/>
      <c r="D336" s="76"/>
      <c r="E336" s="76"/>
      <c r="F336" s="79"/>
      <c r="G336" s="76"/>
      <c r="H336" s="79"/>
      <c r="I336" s="161"/>
      <c r="J336" s="77"/>
      <c r="K336" s="76"/>
      <c r="L336" s="78"/>
      <c r="M336" s="78"/>
      <c r="N336" s="76"/>
      <c r="O336" s="79"/>
      <c r="P336" s="84"/>
      <c r="Q336" s="76"/>
      <c r="R336" s="79"/>
      <c r="S336" s="234"/>
    </row>
    <row r="337" spans="1:19" s="107" customFormat="1" ht="27" customHeight="1" x14ac:dyDescent="0.25">
      <c r="A337" s="167"/>
      <c r="B337" s="80" t="s">
        <v>22</v>
      </c>
      <c r="C337" s="75"/>
      <c r="D337" s="76"/>
      <c r="E337" s="76"/>
      <c r="F337" s="79"/>
      <c r="G337" s="76"/>
      <c r="H337" s="79"/>
      <c r="I337" s="161"/>
      <c r="J337" s="77"/>
      <c r="K337" s="76"/>
      <c r="L337" s="78"/>
      <c r="M337" s="78"/>
      <c r="N337" s="76"/>
      <c r="O337" s="79"/>
      <c r="P337" s="84"/>
      <c r="Q337" s="76"/>
      <c r="R337" s="79"/>
      <c r="S337" s="234"/>
    </row>
    <row r="338" spans="1:19" s="107" customFormat="1" ht="27" customHeight="1" x14ac:dyDescent="0.25">
      <c r="A338" s="167"/>
      <c r="B338" s="75" t="s">
        <v>11</v>
      </c>
      <c r="C338" s="75"/>
      <c r="D338" s="76"/>
      <c r="E338" s="76"/>
      <c r="F338" s="79"/>
      <c r="G338" s="76"/>
      <c r="H338" s="79"/>
      <c r="I338" s="161"/>
      <c r="J338" s="77"/>
      <c r="K338" s="76"/>
      <c r="L338" s="78"/>
      <c r="M338" s="78"/>
      <c r="N338" s="76"/>
      <c r="O338" s="79"/>
      <c r="P338" s="84"/>
      <c r="Q338" s="76"/>
      <c r="R338" s="79"/>
      <c r="S338" s="234"/>
    </row>
    <row r="339" spans="1:19" s="107" customFormat="1" ht="69.75" x14ac:dyDescent="0.25">
      <c r="A339" s="67" t="s">
        <v>368</v>
      </c>
      <c r="B339" s="69" t="s">
        <v>427</v>
      </c>
      <c r="C339" s="69" t="s">
        <v>17</v>
      </c>
      <c r="D339" s="76"/>
      <c r="E339" s="76"/>
      <c r="F339" s="79"/>
      <c r="G339" s="76">
        <f>SUM(G340:G344)</f>
        <v>634.70000000000005</v>
      </c>
      <c r="H339" s="76">
        <f>SUM(H340:H344)</f>
        <v>634.70000000000005</v>
      </c>
      <c r="I339" s="161"/>
      <c r="J339" s="38">
        <f t="shared" si="438"/>
        <v>0</v>
      </c>
      <c r="K339" s="37"/>
      <c r="L339" s="39">
        <f t="shared" si="439"/>
        <v>0</v>
      </c>
      <c r="M339" s="39" t="e">
        <f t="shared" si="437"/>
        <v>#DIV/0!</v>
      </c>
      <c r="N339" s="76">
        <f>SUM(N340:N344)</f>
        <v>634.70000000000005</v>
      </c>
      <c r="O339" s="79">
        <f t="shared" ref="O339:O362" si="442">H339-N339</f>
        <v>0</v>
      </c>
      <c r="P339" s="78">
        <f t="shared" si="440"/>
        <v>1</v>
      </c>
      <c r="Q339" s="76"/>
      <c r="R339" s="79"/>
      <c r="S339" s="235"/>
    </row>
    <row r="340" spans="1:19" s="107" customFormat="1" x14ac:dyDescent="0.25">
      <c r="A340" s="167"/>
      <c r="B340" s="75" t="s">
        <v>83</v>
      </c>
      <c r="C340" s="75"/>
      <c r="D340" s="76"/>
      <c r="E340" s="76"/>
      <c r="F340" s="79"/>
      <c r="G340" s="76">
        <f>G346+G352</f>
        <v>0</v>
      </c>
      <c r="H340" s="76">
        <f>H346+H352</f>
        <v>0</v>
      </c>
      <c r="I340" s="76">
        <f>I346+I352</f>
        <v>0</v>
      </c>
      <c r="J340" s="38" t="e">
        <f t="shared" si="438"/>
        <v>#DIV/0!</v>
      </c>
      <c r="K340" s="37">
        <f>K346+K352</f>
        <v>0</v>
      </c>
      <c r="L340" s="39" t="e">
        <f t="shared" si="439"/>
        <v>#DIV/0!</v>
      </c>
      <c r="M340" s="39" t="e">
        <f t="shared" si="437"/>
        <v>#DIV/0!</v>
      </c>
      <c r="N340" s="76">
        <f>N346+N352</f>
        <v>0</v>
      </c>
      <c r="O340" s="79">
        <f t="shared" si="442"/>
        <v>0</v>
      </c>
      <c r="P340" s="44" t="e">
        <f t="shared" si="440"/>
        <v>#DIV/0!</v>
      </c>
      <c r="Q340" s="76"/>
      <c r="R340" s="79"/>
      <c r="S340" s="234"/>
    </row>
    <row r="341" spans="1:19" s="107" customFormat="1" x14ac:dyDescent="0.25">
      <c r="A341" s="167"/>
      <c r="B341" s="75" t="s">
        <v>8</v>
      </c>
      <c r="C341" s="75"/>
      <c r="D341" s="76"/>
      <c r="E341" s="76"/>
      <c r="F341" s="79"/>
      <c r="G341" s="76">
        <f>G347+G353+G359</f>
        <v>634.70000000000005</v>
      </c>
      <c r="H341" s="76">
        <f>H347+H353+H359</f>
        <v>634.70000000000005</v>
      </c>
      <c r="I341" s="76">
        <f>I347+I353+I359</f>
        <v>0</v>
      </c>
      <c r="J341" s="38">
        <f t="shared" si="438"/>
        <v>0</v>
      </c>
      <c r="K341" s="37">
        <f>K347+K353+K359</f>
        <v>0</v>
      </c>
      <c r="L341" s="39">
        <f t="shared" si="439"/>
        <v>0</v>
      </c>
      <c r="M341" s="39" t="e">
        <f t="shared" si="437"/>
        <v>#DIV/0!</v>
      </c>
      <c r="N341" s="76">
        <f>N347+N353+N359</f>
        <v>634.70000000000005</v>
      </c>
      <c r="O341" s="79">
        <f t="shared" si="442"/>
        <v>0</v>
      </c>
      <c r="P341" s="84">
        <f t="shared" si="440"/>
        <v>1</v>
      </c>
      <c r="Q341" s="76"/>
      <c r="R341" s="79"/>
      <c r="S341" s="234"/>
    </row>
    <row r="342" spans="1:19" s="107" customFormat="1" x14ac:dyDescent="0.25">
      <c r="A342" s="167"/>
      <c r="B342" s="75" t="s">
        <v>19</v>
      </c>
      <c r="C342" s="75"/>
      <c r="D342" s="76"/>
      <c r="E342" s="76"/>
      <c r="F342" s="79"/>
      <c r="G342" s="76">
        <f t="shared" ref="G342:I344" si="443">G348+G354</f>
        <v>0</v>
      </c>
      <c r="H342" s="76">
        <f t="shared" si="443"/>
        <v>0</v>
      </c>
      <c r="I342" s="76">
        <f t="shared" si="443"/>
        <v>0</v>
      </c>
      <c r="J342" s="38" t="e">
        <f t="shared" si="438"/>
        <v>#DIV/0!</v>
      </c>
      <c r="K342" s="37">
        <f>K348+K354</f>
        <v>0</v>
      </c>
      <c r="L342" s="39" t="e">
        <f t="shared" si="439"/>
        <v>#DIV/0!</v>
      </c>
      <c r="M342" s="39" t="e">
        <f t="shared" si="437"/>
        <v>#DIV/0!</v>
      </c>
      <c r="N342" s="76">
        <f>N348+N354</f>
        <v>0</v>
      </c>
      <c r="O342" s="79">
        <f t="shared" si="442"/>
        <v>0</v>
      </c>
      <c r="P342" s="44" t="e">
        <f t="shared" si="440"/>
        <v>#DIV/0!</v>
      </c>
      <c r="Q342" s="76"/>
      <c r="R342" s="79"/>
      <c r="S342" s="234"/>
    </row>
    <row r="343" spans="1:19" s="107" customFormat="1" x14ac:dyDescent="0.25">
      <c r="A343" s="167"/>
      <c r="B343" s="80" t="s">
        <v>22</v>
      </c>
      <c r="C343" s="75"/>
      <c r="D343" s="76"/>
      <c r="E343" s="76"/>
      <c r="F343" s="79"/>
      <c r="G343" s="76">
        <f t="shared" si="443"/>
        <v>0</v>
      </c>
      <c r="H343" s="76">
        <f t="shared" si="443"/>
        <v>0</v>
      </c>
      <c r="I343" s="76">
        <f t="shared" si="443"/>
        <v>0</v>
      </c>
      <c r="J343" s="38" t="e">
        <f t="shared" si="438"/>
        <v>#DIV/0!</v>
      </c>
      <c r="K343" s="37">
        <f>K349+K355</f>
        <v>0</v>
      </c>
      <c r="L343" s="39" t="e">
        <f t="shared" si="439"/>
        <v>#DIV/0!</v>
      </c>
      <c r="M343" s="39" t="e">
        <f t="shared" si="437"/>
        <v>#DIV/0!</v>
      </c>
      <c r="N343" s="76">
        <f>N349+N355</f>
        <v>0</v>
      </c>
      <c r="O343" s="79">
        <f t="shared" si="442"/>
        <v>0</v>
      </c>
      <c r="P343" s="44" t="e">
        <f t="shared" si="440"/>
        <v>#DIV/0!</v>
      </c>
      <c r="Q343" s="76"/>
      <c r="R343" s="79"/>
      <c r="S343" s="234"/>
    </row>
    <row r="344" spans="1:19" s="107" customFormat="1" x14ac:dyDescent="0.25">
      <c r="A344" s="168"/>
      <c r="B344" s="75" t="s">
        <v>11</v>
      </c>
      <c r="C344" s="75"/>
      <c r="D344" s="76"/>
      <c r="E344" s="76"/>
      <c r="F344" s="79"/>
      <c r="G344" s="76">
        <f t="shared" si="443"/>
        <v>0</v>
      </c>
      <c r="H344" s="76">
        <f t="shared" si="443"/>
        <v>0</v>
      </c>
      <c r="I344" s="76">
        <f t="shared" si="443"/>
        <v>0</v>
      </c>
      <c r="J344" s="38" t="e">
        <f t="shared" si="438"/>
        <v>#DIV/0!</v>
      </c>
      <c r="K344" s="37">
        <f>K350+K356</f>
        <v>0</v>
      </c>
      <c r="L344" s="39" t="e">
        <f t="shared" si="439"/>
        <v>#DIV/0!</v>
      </c>
      <c r="M344" s="39" t="e">
        <f t="shared" si="437"/>
        <v>#DIV/0!</v>
      </c>
      <c r="N344" s="76">
        <f>N350+N356</f>
        <v>0</v>
      </c>
      <c r="O344" s="79">
        <f t="shared" si="442"/>
        <v>0</v>
      </c>
      <c r="P344" s="44" t="e">
        <f t="shared" si="440"/>
        <v>#DIV/0!</v>
      </c>
      <c r="Q344" s="76"/>
      <c r="R344" s="79"/>
      <c r="S344" s="236"/>
    </row>
    <row r="345" spans="1:19" s="107" customFormat="1" ht="261" customHeight="1" x14ac:dyDescent="0.25">
      <c r="A345" s="167" t="s">
        <v>369</v>
      </c>
      <c r="B345" s="69" t="s">
        <v>373</v>
      </c>
      <c r="C345" s="69" t="s">
        <v>17</v>
      </c>
      <c r="D345" s="76"/>
      <c r="E345" s="76"/>
      <c r="F345" s="79"/>
      <c r="G345" s="76">
        <f>SUM(G346:G350)</f>
        <v>488.35</v>
      </c>
      <c r="H345" s="76">
        <f>SUM(H346:H350)</f>
        <v>488.35</v>
      </c>
      <c r="I345" s="76">
        <f>SUM(I346:I350)</f>
        <v>0</v>
      </c>
      <c r="J345" s="38">
        <f t="shared" si="438"/>
        <v>0</v>
      </c>
      <c r="K345" s="37">
        <f>SUM(K346:K350)</f>
        <v>0</v>
      </c>
      <c r="L345" s="39">
        <f t="shared" si="439"/>
        <v>0</v>
      </c>
      <c r="M345" s="39" t="e">
        <f t="shared" si="437"/>
        <v>#DIV/0!</v>
      </c>
      <c r="N345" s="76">
        <f>SUM(N346:N350)</f>
        <v>488.35</v>
      </c>
      <c r="O345" s="79">
        <f t="shared" si="442"/>
        <v>0</v>
      </c>
      <c r="P345" s="84">
        <f t="shared" si="440"/>
        <v>1</v>
      </c>
      <c r="Q345" s="76"/>
      <c r="R345" s="79"/>
      <c r="S345" s="90" t="s">
        <v>482</v>
      </c>
    </row>
    <row r="346" spans="1:19" s="107" customFormat="1" ht="27" customHeight="1" x14ac:dyDescent="0.25">
      <c r="A346" s="167"/>
      <c r="B346" s="75" t="s">
        <v>83</v>
      </c>
      <c r="C346" s="75"/>
      <c r="D346" s="76"/>
      <c r="E346" s="76"/>
      <c r="F346" s="79"/>
      <c r="G346" s="76"/>
      <c r="H346" s="76"/>
      <c r="I346" s="161"/>
      <c r="J346" s="38" t="e">
        <f t="shared" si="438"/>
        <v>#DIV/0!</v>
      </c>
      <c r="K346" s="37"/>
      <c r="L346" s="39" t="e">
        <f t="shared" si="439"/>
        <v>#DIV/0!</v>
      </c>
      <c r="M346" s="39" t="e">
        <f t="shared" si="437"/>
        <v>#DIV/0!</v>
      </c>
      <c r="N346" s="76"/>
      <c r="O346" s="79">
        <f t="shared" si="442"/>
        <v>0</v>
      </c>
      <c r="P346" s="44" t="e">
        <f t="shared" si="440"/>
        <v>#DIV/0!</v>
      </c>
      <c r="Q346" s="76"/>
      <c r="R346" s="79"/>
      <c r="S346" s="234"/>
    </row>
    <row r="347" spans="1:19" s="107" customFormat="1" ht="27" customHeight="1" x14ac:dyDescent="0.25">
      <c r="A347" s="167"/>
      <c r="B347" s="75" t="s">
        <v>8</v>
      </c>
      <c r="C347" s="75"/>
      <c r="D347" s="76"/>
      <c r="E347" s="76"/>
      <c r="F347" s="79"/>
      <c r="G347" s="76">
        <v>488.35</v>
      </c>
      <c r="H347" s="76">
        <v>488.35</v>
      </c>
      <c r="I347" s="161"/>
      <c r="J347" s="38">
        <f t="shared" si="438"/>
        <v>0</v>
      </c>
      <c r="K347" s="37"/>
      <c r="L347" s="39">
        <f t="shared" si="439"/>
        <v>0</v>
      </c>
      <c r="M347" s="39" t="e">
        <f t="shared" si="437"/>
        <v>#DIV/0!</v>
      </c>
      <c r="N347" s="76">
        <v>488.35</v>
      </c>
      <c r="O347" s="79">
        <f t="shared" si="442"/>
        <v>0</v>
      </c>
      <c r="P347" s="84">
        <f t="shared" si="440"/>
        <v>1</v>
      </c>
      <c r="Q347" s="76"/>
      <c r="R347" s="79"/>
      <c r="S347" s="234"/>
    </row>
    <row r="348" spans="1:19" s="107" customFormat="1" ht="27" customHeight="1" x14ac:dyDescent="0.25">
      <c r="A348" s="167"/>
      <c r="B348" s="75" t="s">
        <v>19</v>
      </c>
      <c r="C348" s="75"/>
      <c r="D348" s="76"/>
      <c r="E348" s="76"/>
      <c r="F348" s="79"/>
      <c r="G348" s="76"/>
      <c r="H348" s="76"/>
      <c r="I348" s="161"/>
      <c r="J348" s="38" t="e">
        <f t="shared" si="438"/>
        <v>#DIV/0!</v>
      </c>
      <c r="K348" s="37"/>
      <c r="L348" s="39" t="e">
        <f t="shared" si="439"/>
        <v>#DIV/0!</v>
      </c>
      <c r="M348" s="39" t="e">
        <f t="shared" si="437"/>
        <v>#DIV/0!</v>
      </c>
      <c r="N348" s="76"/>
      <c r="O348" s="79">
        <f t="shared" si="442"/>
        <v>0</v>
      </c>
      <c r="P348" s="44" t="e">
        <f t="shared" si="440"/>
        <v>#DIV/0!</v>
      </c>
      <c r="Q348" s="76"/>
      <c r="R348" s="79"/>
      <c r="S348" s="234"/>
    </row>
    <row r="349" spans="1:19" s="107" customFormat="1" ht="27" customHeight="1" x14ac:dyDescent="0.25">
      <c r="A349" s="167"/>
      <c r="B349" s="80" t="s">
        <v>22</v>
      </c>
      <c r="C349" s="75"/>
      <c r="D349" s="76"/>
      <c r="E349" s="76"/>
      <c r="F349" s="79"/>
      <c r="G349" s="76"/>
      <c r="H349" s="76"/>
      <c r="I349" s="161"/>
      <c r="J349" s="38" t="e">
        <f t="shared" si="438"/>
        <v>#DIV/0!</v>
      </c>
      <c r="K349" s="37"/>
      <c r="L349" s="39" t="e">
        <f t="shared" si="439"/>
        <v>#DIV/0!</v>
      </c>
      <c r="M349" s="39" t="e">
        <f t="shared" si="437"/>
        <v>#DIV/0!</v>
      </c>
      <c r="N349" s="76"/>
      <c r="O349" s="79">
        <f t="shared" si="442"/>
        <v>0</v>
      </c>
      <c r="P349" s="44" t="e">
        <f t="shared" si="440"/>
        <v>#DIV/0!</v>
      </c>
      <c r="Q349" s="76"/>
      <c r="R349" s="79"/>
      <c r="S349" s="234"/>
    </row>
    <row r="350" spans="1:19" s="107" customFormat="1" ht="27" customHeight="1" x14ac:dyDescent="0.25">
      <c r="A350" s="168"/>
      <c r="B350" s="75" t="s">
        <v>11</v>
      </c>
      <c r="C350" s="75"/>
      <c r="D350" s="76"/>
      <c r="E350" s="76"/>
      <c r="F350" s="79"/>
      <c r="G350" s="76"/>
      <c r="H350" s="76"/>
      <c r="I350" s="161"/>
      <c r="J350" s="38" t="e">
        <f t="shared" si="438"/>
        <v>#DIV/0!</v>
      </c>
      <c r="K350" s="37"/>
      <c r="L350" s="39" t="e">
        <f t="shared" si="439"/>
        <v>#DIV/0!</v>
      </c>
      <c r="M350" s="39" t="e">
        <f t="shared" si="437"/>
        <v>#DIV/0!</v>
      </c>
      <c r="N350" s="76"/>
      <c r="O350" s="79">
        <f t="shared" si="442"/>
        <v>0</v>
      </c>
      <c r="P350" s="44" t="e">
        <f t="shared" si="440"/>
        <v>#DIV/0!</v>
      </c>
      <c r="Q350" s="76"/>
      <c r="R350" s="79"/>
      <c r="S350" s="236"/>
    </row>
    <row r="351" spans="1:19" s="107" customFormat="1" ht="276" customHeight="1" x14ac:dyDescent="0.25">
      <c r="A351" s="167" t="s">
        <v>370</v>
      </c>
      <c r="B351" s="69" t="s">
        <v>380</v>
      </c>
      <c r="C351" s="69" t="s">
        <v>17</v>
      </c>
      <c r="D351" s="76"/>
      <c r="E351" s="76"/>
      <c r="F351" s="79"/>
      <c r="G351" s="76">
        <f>SUM(G352:G356)</f>
        <v>95.44</v>
      </c>
      <c r="H351" s="76">
        <f>SUM(H352:H356)</f>
        <v>95.44</v>
      </c>
      <c r="I351" s="76">
        <f>SUM(I352:I356)</f>
        <v>0</v>
      </c>
      <c r="J351" s="77">
        <f t="shared" si="438"/>
        <v>0</v>
      </c>
      <c r="K351" s="76">
        <f>SUM(K352:K356)</f>
        <v>0</v>
      </c>
      <c r="L351" s="78">
        <f t="shared" si="439"/>
        <v>0</v>
      </c>
      <c r="M351" s="39" t="e">
        <f t="shared" si="437"/>
        <v>#DIV/0!</v>
      </c>
      <c r="N351" s="76">
        <f>SUM(N352:N356)</f>
        <v>95.44</v>
      </c>
      <c r="O351" s="79">
        <f t="shared" si="442"/>
        <v>0</v>
      </c>
      <c r="P351" s="84">
        <f t="shared" si="440"/>
        <v>1</v>
      </c>
      <c r="Q351" s="76"/>
      <c r="R351" s="79"/>
      <c r="S351" s="90" t="s">
        <v>512</v>
      </c>
    </row>
    <row r="352" spans="1:19" s="107" customFormat="1" ht="27" customHeight="1" x14ac:dyDescent="0.25">
      <c r="A352" s="167"/>
      <c r="B352" s="75" t="s">
        <v>83</v>
      </c>
      <c r="C352" s="75"/>
      <c r="D352" s="76"/>
      <c r="E352" s="76"/>
      <c r="F352" s="79"/>
      <c r="G352" s="76"/>
      <c r="H352" s="76"/>
      <c r="I352" s="161"/>
      <c r="J352" s="38" t="e">
        <f t="shared" si="438"/>
        <v>#DIV/0!</v>
      </c>
      <c r="K352" s="37"/>
      <c r="L352" s="39" t="e">
        <f t="shared" si="439"/>
        <v>#DIV/0!</v>
      </c>
      <c r="M352" s="39" t="e">
        <f t="shared" si="437"/>
        <v>#DIV/0!</v>
      </c>
      <c r="N352" s="76"/>
      <c r="O352" s="79">
        <f t="shared" si="442"/>
        <v>0</v>
      </c>
      <c r="P352" s="44" t="e">
        <f t="shared" si="440"/>
        <v>#DIV/0!</v>
      </c>
      <c r="Q352" s="76"/>
      <c r="R352" s="79"/>
      <c r="S352" s="234"/>
    </row>
    <row r="353" spans="1:19" s="107" customFormat="1" ht="27" customHeight="1" x14ac:dyDescent="0.25">
      <c r="A353" s="167"/>
      <c r="B353" s="75" t="s">
        <v>8</v>
      </c>
      <c r="C353" s="75"/>
      <c r="D353" s="76"/>
      <c r="E353" s="76"/>
      <c r="F353" s="79"/>
      <c r="G353" s="76">
        <f>47.72+47.72</f>
        <v>95.44</v>
      </c>
      <c r="H353" s="76">
        <f>47.72+47.72</f>
        <v>95.44</v>
      </c>
      <c r="I353" s="161"/>
      <c r="J353" s="38">
        <f t="shared" si="438"/>
        <v>0</v>
      </c>
      <c r="K353" s="37"/>
      <c r="L353" s="39">
        <f t="shared" si="439"/>
        <v>0</v>
      </c>
      <c r="M353" s="39" t="e">
        <f t="shared" si="437"/>
        <v>#DIV/0!</v>
      </c>
      <c r="N353" s="76">
        <f>47.72+47.72</f>
        <v>95.44</v>
      </c>
      <c r="O353" s="79">
        <f t="shared" si="442"/>
        <v>0</v>
      </c>
      <c r="P353" s="84">
        <f t="shared" si="440"/>
        <v>1</v>
      </c>
      <c r="Q353" s="76"/>
      <c r="R353" s="79"/>
      <c r="S353" s="234"/>
    </row>
    <row r="354" spans="1:19" s="107" customFormat="1" ht="27" customHeight="1" x14ac:dyDescent="0.25">
      <c r="A354" s="167"/>
      <c r="B354" s="75" t="s">
        <v>19</v>
      </c>
      <c r="C354" s="75"/>
      <c r="D354" s="76"/>
      <c r="E354" s="76"/>
      <c r="F354" s="79"/>
      <c r="G354" s="76"/>
      <c r="H354" s="76"/>
      <c r="I354" s="161"/>
      <c r="J354" s="38" t="e">
        <f t="shared" si="438"/>
        <v>#DIV/0!</v>
      </c>
      <c r="K354" s="37"/>
      <c r="L354" s="39" t="e">
        <f t="shared" si="439"/>
        <v>#DIV/0!</v>
      </c>
      <c r="M354" s="39" t="e">
        <f t="shared" si="437"/>
        <v>#DIV/0!</v>
      </c>
      <c r="N354" s="76"/>
      <c r="O354" s="79">
        <f t="shared" si="442"/>
        <v>0</v>
      </c>
      <c r="P354" s="44" t="e">
        <f t="shared" si="440"/>
        <v>#DIV/0!</v>
      </c>
      <c r="Q354" s="76"/>
      <c r="R354" s="79"/>
      <c r="S354" s="234"/>
    </row>
    <row r="355" spans="1:19" s="107" customFormat="1" ht="27" customHeight="1" x14ac:dyDescent="0.25">
      <c r="A355" s="167"/>
      <c r="B355" s="80" t="s">
        <v>22</v>
      </c>
      <c r="C355" s="75"/>
      <c r="D355" s="76"/>
      <c r="E355" s="76"/>
      <c r="F355" s="79"/>
      <c r="G355" s="76"/>
      <c r="H355" s="76"/>
      <c r="I355" s="161"/>
      <c r="J355" s="38" t="e">
        <f t="shared" si="438"/>
        <v>#DIV/0!</v>
      </c>
      <c r="K355" s="37"/>
      <c r="L355" s="39" t="e">
        <f t="shared" si="439"/>
        <v>#DIV/0!</v>
      </c>
      <c r="M355" s="39" t="e">
        <f t="shared" si="437"/>
        <v>#DIV/0!</v>
      </c>
      <c r="N355" s="76"/>
      <c r="O355" s="79">
        <f t="shared" si="442"/>
        <v>0</v>
      </c>
      <c r="P355" s="44" t="e">
        <f t="shared" si="440"/>
        <v>#DIV/0!</v>
      </c>
      <c r="Q355" s="76"/>
      <c r="R355" s="79"/>
      <c r="S355" s="234"/>
    </row>
    <row r="356" spans="1:19" s="107" customFormat="1" ht="27" customHeight="1" x14ac:dyDescent="0.25">
      <c r="A356" s="167"/>
      <c r="B356" s="75" t="s">
        <v>11</v>
      </c>
      <c r="C356" s="75"/>
      <c r="D356" s="76"/>
      <c r="E356" s="76"/>
      <c r="F356" s="79"/>
      <c r="G356" s="76"/>
      <c r="H356" s="79"/>
      <c r="I356" s="161"/>
      <c r="J356" s="38" t="e">
        <f t="shared" si="438"/>
        <v>#DIV/0!</v>
      </c>
      <c r="K356" s="37"/>
      <c r="L356" s="39" t="e">
        <f t="shared" si="439"/>
        <v>#DIV/0!</v>
      </c>
      <c r="M356" s="39" t="e">
        <f t="shared" si="437"/>
        <v>#DIV/0!</v>
      </c>
      <c r="N356" s="76"/>
      <c r="O356" s="79">
        <f t="shared" si="442"/>
        <v>0</v>
      </c>
      <c r="P356" s="44" t="e">
        <f t="shared" si="440"/>
        <v>#DIV/0!</v>
      </c>
      <c r="Q356" s="76"/>
      <c r="R356" s="79"/>
      <c r="S356" s="234"/>
    </row>
    <row r="357" spans="1:19" s="107" customFormat="1" ht="69.75" x14ac:dyDescent="0.25">
      <c r="A357" s="67" t="s">
        <v>381</v>
      </c>
      <c r="B357" s="69" t="s">
        <v>382</v>
      </c>
      <c r="C357" s="69" t="s">
        <v>17</v>
      </c>
      <c r="D357" s="76"/>
      <c r="E357" s="76"/>
      <c r="F357" s="79"/>
      <c r="G357" s="76">
        <f>SUM(G358:G362)</f>
        <v>50.91</v>
      </c>
      <c r="H357" s="76">
        <f>SUM(H358:H362)</f>
        <v>50.91</v>
      </c>
      <c r="I357" s="76">
        <f>SUM(I358:I362)</f>
        <v>0</v>
      </c>
      <c r="J357" s="38">
        <f t="shared" si="438"/>
        <v>0</v>
      </c>
      <c r="K357" s="37">
        <f>SUM(K358:K362)</f>
        <v>0</v>
      </c>
      <c r="L357" s="39">
        <f t="shared" si="439"/>
        <v>0</v>
      </c>
      <c r="M357" s="39" t="e">
        <f t="shared" si="437"/>
        <v>#DIV/0!</v>
      </c>
      <c r="N357" s="76">
        <f>SUM(N358:N362)</f>
        <v>50.91</v>
      </c>
      <c r="O357" s="79">
        <f t="shared" si="442"/>
        <v>0</v>
      </c>
      <c r="P357" s="78">
        <f t="shared" si="440"/>
        <v>1</v>
      </c>
      <c r="Q357" s="76"/>
      <c r="R357" s="79"/>
      <c r="S357" s="89" t="s">
        <v>489</v>
      </c>
    </row>
    <row r="358" spans="1:19" s="107" customFormat="1" ht="27" customHeight="1" x14ac:dyDescent="0.25">
      <c r="A358" s="167"/>
      <c r="B358" s="75" t="s">
        <v>83</v>
      </c>
      <c r="C358" s="75"/>
      <c r="D358" s="76"/>
      <c r="E358" s="76"/>
      <c r="F358" s="79"/>
      <c r="G358" s="76"/>
      <c r="H358" s="76"/>
      <c r="I358" s="161"/>
      <c r="J358" s="38" t="e">
        <f t="shared" si="438"/>
        <v>#DIV/0!</v>
      </c>
      <c r="K358" s="37"/>
      <c r="L358" s="39" t="e">
        <f t="shared" si="439"/>
        <v>#DIV/0!</v>
      </c>
      <c r="M358" s="39" t="e">
        <f t="shared" si="437"/>
        <v>#DIV/0!</v>
      </c>
      <c r="N358" s="76"/>
      <c r="O358" s="79">
        <f t="shared" si="442"/>
        <v>0</v>
      </c>
      <c r="P358" s="44" t="e">
        <f t="shared" si="440"/>
        <v>#DIV/0!</v>
      </c>
      <c r="Q358" s="76"/>
      <c r="R358" s="79"/>
      <c r="S358" s="234"/>
    </row>
    <row r="359" spans="1:19" s="107" customFormat="1" ht="27" customHeight="1" x14ac:dyDescent="0.25">
      <c r="A359" s="167"/>
      <c r="B359" s="75" t="s">
        <v>8</v>
      </c>
      <c r="C359" s="75"/>
      <c r="D359" s="76"/>
      <c r="E359" s="76"/>
      <c r="F359" s="79"/>
      <c r="G359" s="76">
        <v>50.91</v>
      </c>
      <c r="H359" s="76">
        <v>50.91</v>
      </c>
      <c r="I359" s="161"/>
      <c r="J359" s="38">
        <f t="shared" si="438"/>
        <v>0</v>
      </c>
      <c r="K359" s="37"/>
      <c r="L359" s="39">
        <f t="shared" si="439"/>
        <v>0</v>
      </c>
      <c r="M359" s="39" t="e">
        <f t="shared" si="437"/>
        <v>#DIV/0!</v>
      </c>
      <c r="N359" s="76">
        <f>H359</f>
        <v>50.91</v>
      </c>
      <c r="O359" s="79">
        <f t="shared" si="442"/>
        <v>0</v>
      </c>
      <c r="P359" s="84">
        <f t="shared" si="440"/>
        <v>1</v>
      </c>
      <c r="Q359" s="76"/>
      <c r="R359" s="79"/>
      <c r="S359" s="234"/>
    </row>
    <row r="360" spans="1:19" s="107" customFormat="1" ht="27" customHeight="1" x14ac:dyDescent="0.25">
      <c r="A360" s="167"/>
      <c r="B360" s="75" t="s">
        <v>19</v>
      </c>
      <c r="C360" s="75"/>
      <c r="D360" s="76"/>
      <c r="E360" s="76"/>
      <c r="F360" s="79"/>
      <c r="G360" s="76"/>
      <c r="H360" s="76"/>
      <c r="I360" s="161"/>
      <c r="J360" s="38" t="e">
        <f t="shared" si="438"/>
        <v>#DIV/0!</v>
      </c>
      <c r="K360" s="37"/>
      <c r="L360" s="39" t="e">
        <f t="shared" si="439"/>
        <v>#DIV/0!</v>
      </c>
      <c r="M360" s="39" t="e">
        <f t="shared" si="437"/>
        <v>#DIV/0!</v>
      </c>
      <c r="N360" s="76"/>
      <c r="O360" s="79">
        <f t="shared" si="442"/>
        <v>0</v>
      </c>
      <c r="P360" s="44" t="e">
        <f t="shared" si="440"/>
        <v>#DIV/0!</v>
      </c>
      <c r="Q360" s="76"/>
      <c r="R360" s="79"/>
      <c r="S360" s="234"/>
    </row>
    <row r="361" spans="1:19" s="107" customFormat="1" ht="27" customHeight="1" x14ac:dyDescent="0.25">
      <c r="A361" s="167"/>
      <c r="B361" s="80" t="s">
        <v>22</v>
      </c>
      <c r="C361" s="75"/>
      <c r="D361" s="76"/>
      <c r="E361" s="76"/>
      <c r="F361" s="79"/>
      <c r="G361" s="76"/>
      <c r="H361" s="76"/>
      <c r="I361" s="161"/>
      <c r="J361" s="38" t="e">
        <f t="shared" si="438"/>
        <v>#DIV/0!</v>
      </c>
      <c r="K361" s="37"/>
      <c r="L361" s="39" t="e">
        <f t="shared" si="439"/>
        <v>#DIV/0!</v>
      </c>
      <c r="M361" s="39" t="e">
        <f t="shared" si="437"/>
        <v>#DIV/0!</v>
      </c>
      <c r="N361" s="76"/>
      <c r="O361" s="79">
        <f t="shared" si="442"/>
        <v>0</v>
      </c>
      <c r="P361" s="44" t="e">
        <f t="shared" si="440"/>
        <v>#DIV/0!</v>
      </c>
      <c r="Q361" s="76"/>
      <c r="R361" s="79"/>
      <c r="S361" s="234"/>
    </row>
    <row r="362" spans="1:19" s="107" customFormat="1" ht="27" customHeight="1" x14ac:dyDescent="0.25">
      <c r="A362" s="168"/>
      <c r="B362" s="75" t="s">
        <v>11</v>
      </c>
      <c r="C362" s="75"/>
      <c r="D362" s="76"/>
      <c r="E362" s="76"/>
      <c r="F362" s="79"/>
      <c r="G362" s="76"/>
      <c r="H362" s="79"/>
      <c r="I362" s="161"/>
      <c r="J362" s="38" t="e">
        <f t="shared" si="438"/>
        <v>#DIV/0!</v>
      </c>
      <c r="K362" s="37"/>
      <c r="L362" s="39" t="e">
        <f t="shared" si="439"/>
        <v>#DIV/0!</v>
      </c>
      <c r="M362" s="39" t="e">
        <f t="shared" si="437"/>
        <v>#DIV/0!</v>
      </c>
      <c r="N362" s="76"/>
      <c r="O362" s="79">
        <f t="shared" si="442"/>
        <v>0</v>
      </c>
      <c r="P362" s="44" t="e">
        <f t="shared" si="440"/>
        <v>#DIV/0!</v>
      </c>
      <c r="Q362" s="76"/>
      <c r="R362" s="79"/>
      <c r="S362" s="236"/>
    </row>
    <row r="363" spans="1:19" s="142" customFormat="1" ht="46.5" outlineLevel="1" x14ac:dyDescent="0.25">
      <c r="A363" s="152" t="s">
        <v>268</v>
      </c>
      <c r="B363" s="154" t="s">
        <v>90</v>
      </c>
      <c r="C363" s="154" t="s">
        <v>2</v>
      </c>
      <c r="D363" s="155">
        <f t="shared" ref="D363:I363" si="444">SUM(D364:D368)</f>
        <v>0</v>
      </c>
      <c r="E363" s="155">
        <f t="shared" si="444"/>
        <v>0</v>
      </c>
      <c r="F363" s="155">
        <f t="shared" si="444"/>
        <v>0</v>
      </c>
      <c r="G363" s="155">
        <f t="shared" si="444"/>
        <v>8024.6</v>
      </c>
      <c r="H363" s="155">
        <f t="shared" si="444"/>
        <v>8024.6</v>
      </c>
      <c r="I363" s="232">
        <f t="shared" si="444"/>
        <v>3700</v>
      </c>
      <c r="J363" s="156">
        <f t="shared" si="438"/>
        <v>0.46</v>
      </c>
      <c r="K363" s="155">
        <f>SUM(K364:K368)</f>
        <v>3126.85</v>
      </c>
      <c r="L363" s="182">
        <f t="shared" si="439"/>
        <v>0.39</v>
      </c>
      <c r="M363" s="182">
        <f t="shared" ref="M363:M372" si="445">K363/I363</f>
        <v>0.85</v>
      </c>
      <c r="N363" s="155">
        <f>SUM(N364:N368)</f>
        <v>8024.6</v>
      </c>
      <c r="O363" s="155">
        <f t="shared" ref="O363:O374" si="446">H363-N363</f>
        <v>0</v>
      </c>
      <c r="P363" s="182">
        <f t="shared" si="427"/>
        <v>1</v>
      </c>
      <c r="Q363" s="155">
        <f t="shared" ref="Q363:Q374" si="447">H363-K363</f>
        <v>4897.75</v>
      </c>
      <c r="R363" s="155">
        <f t="shared" si="419"/>
        <v>573.15</v>
      </c>
      <c r="S363" s="192"/>
    </row>
    <row r="364" spans="1:19" s="107" customFormat="1" outlineLevel="1" x14ac:dyDescent="0.25">
      <c r="A364" s="159"/>
      <c r="B364" s="75" t="s">
        <v>83</v>
      </c>
      <c r="C364" s="75"/>
      <c r="D364" s="76"/>
      <c r="E364" s="76"/>
      <c r="F364" s="79"/>
      <c r="G364" s="76">
        <f t="shared" ref="G364:K368" si="448">G370</f>
        <v>0</v>
      </c>
      <c r="H364" s="76">
        <f t="shared" si="448"/>
        <v>0</v>
      </c>
      <c r="I364" s="161">
        <f t="shared" si="448"/>
        <v>0</v>
      </c>
      <c r="J364" s="77"/>
      <c r="K364" s="76">
        <f>K370</f>
        <v>0</v>
      </c>
      <c r="L364" s="78"/>
      <c r="M364" s="78"/>
      <c r="N364" s="76"/>
      <c r="O364" s="76">
        <f t="shared" si="446"/>
        <v>0</v>
      </c>
      <c r="P364" s="39" t="e">
        <f t="shared" si="427"/>
        <v>#DIV/0!</v>
      </c>
      <c r="Q364" s="76">
        <f t="shared" si="447"/>
        <v>0</v>
      </c>
      <c r="R364" s="76">
        <f t="shared" si="419"/>
        <v>0</v>
      </c>
      <c r="S364" s="237"/>
    </row>
    <row r="365" spans="1:19" s="107" customFormat="1" outlineLevel="1" x14ac:dyDescent="0.25">
      <c r="A365" s="159"/>
      <c r="B365" s="75" t="s">
        <v>8</v>
      </c>
      <c r="C365" s="75"/>
      <c r="D365" s="76"/>
      <c r="E365" s="76"/>
      <c r="F365" s="79"/>
      <c r="G365" s="76">
        <f t="shared" si="448"/>
        <v>8024.6</v>
      </c>
      <c r="H365" s="76">
        <f t="shared" si="448"/>
        <v>8024.6</v>
      </c>
      <c r="I365" s="76">
        <f t="shared" si="448"/>
        <v>3700</v>
      </c>
      <c r="J365" s="77">
        <f>I365/H365</f>
        <v>0.46</v>
      </c>
      <c r="K365" s="76">
        <f t="shared" si="448"/>
        <v>3126.85</v>
      </c>
      <c r="L365" s="78">
        <f>K365/H365</f>
        <v>0.39</v>
      </c>
      <c r="M365" s="78">
        <f t="shared" si="445"/>
        <v>0.85</v>
      </c>
      <c r="N365" s="76">
        <f t="shared" ref="N365" si="449">N371</f>
        <v>8024.6</v>
      </c>
      <c r="O365" s="76">
        <f t="shared" si="446"/>
        <v>0</v>
      </c>
      <c r="P365" s="78">
        <f t="shared" si="427"/>
        <v>1</v>
      </c>
      <c r="Q365" s="76">
        <f t="shared" si="447"/>
        <v>4897.75</v>
      </c>
      <c r="R365" s="76">
        <f t="shared" si="419"/>
        <v>573.15</v>
      </c>
      <c r="S365" s="237"/>
    </row>
    <row r="366" spans="1:19" s="107" customFormat="1" outlineLevel="1" x14ac:dyDescent="0.25">
      <c r="A366" s="159"/>
      <c r="B366" s="80" t="s">
        <v>19</v>
      </c>
      <c r="C366" s="80"/>
      <c r="D366" s="81"/>
      <c r="E366" s="81"/>
      <c r="F366" s="82"/>
      <c r="G366" s="81">
        <f t="shared" si="448"/>
        <v>0</v>
      </c>
      <c r="H366" s="81">
        <f t="shared" si="448"/>
        <v>0</v>
      </c>
      <c r="I366" s="113">
        <f t="shared" si="448"/>
        <v>0</v>
      </c>
      <c r="J366" s="83"/>
      <c r="K366" s="81">
        <f>K372</f>
        <v>0</v>
      </c>
      <c r="L366" s="84"/>
      <c r="M366" s="84"/>
      <c r="N366" s="81"/>
      <c r="O366" s="81">
        <f t="shared" si="446"/>
        <v>0</v>
      </c>
      <c r="P366" s="44" t="e">
        <f t="shared" si="427"/>
        <v>#DIV/0!</v>
      </c>
      <c r="Q366" s="81">
        <f t="shared" si="447"/>
        <v>0</v>
      </c>
      <c r="R366" s="81">
        <f t="shared" si="419"/>
        <v>0</v>
      </c>
      <c r="S366" s="237"/>
    </row>
    <row r="367" spans="1:19" s="107" customFormat="1" outlineLevel="1" x14ac:dyDescent="0.25">
      <c r="A367" s="159"/>
      <c r="B367" s="80" t="s">
        <v>22</v>
      </c>
      <c r="C367" s="80"/>
      <c r="D367" s="81"/>
      <c r="E367" s="81"/>
      <c r="F367" s="82"/>
      <c r="G367" s="81">
        <f t="shared" si="448"/>
        <v>0</v>
      </c>
      <c r="H367" s="81">
        <f t="shared" si="448"/>
        <v>0</v>
      </c>
      <c r="I367" s="113">
        <f t="shared" si="448"/>
        <v>0</v>
      </c>
      <c r="J367" s="83"/>
      <c r="K367" s="81">
        <f>K373</f>
        <v>0</v>
      </c>
      <c r="L367" s="84"/>
      <c r="M367" s="84"/>
      <c r="N367" s="81"/>
      <c r="O367" s="81">
        <f t="shared" si="446"/>
        <v>0</v>
      </c>
      <c r="P367" s="44" t="e">
        <f t="shared" si="427"/>
        <v>#DIV/0!</v>
      </c>
      <c r="Q367" s="81">
        <f t="shared" si="447"/>
        <v>0</v>
      </c>
      <c r="R367" s="81">
        <f t="shared" si="419"/>
        <v>0</v>
      </c>
      <c r="S367" s="237"/>
    </row>
    <row r="368" spans="1:19" s="107" customFormat="1" outlineLevel="1" collapsed="1" x14ac:dyDescent="0.25">
      <c r="A368" s="162"/>
      <c r="B368" s="75" t="s">
        <v>11</v>
      </c>
      <c r="C368" s="75"/>
      <c r="D368" s="76"/>
      <c r="E368" s="76"/>
      <c r="F368" s="79"/>
      <c r="G368" s="76">
        <f t="shared" si="448"/>
        <v>0</v>
      </c>
      <c r="H368" s="76">
        <f t="shared" si="448"/>
        <v>0</v>
      </c>
      <c r="I368" s="161">
        <f t="shared" si="448"/>
        <v>0</v>
      </c>
      <c r="J368" s="77"/>
      <c r="K368" s="76">
        <f>K374</f>
        <v>0</v>
      </c>
      <c r="L368" s="78"/>
      <c r="M368" s="78"/>
      <c r="N368" s="76"/>
      <c r="O368" s="76">
        <f t="shared" si="446"/>
        <v>0</v>
      </c>
      <c r="P368" s="39" t="e">
        <f t="shared" si="427"/>
        <v>#DIV/0!</v>
      </c>
      <c r="Q368" s="76">
        <f t="shared" si="447"/>
        <v>0</v>
      </c>
      <c r="R368" s="76">
        <f t="shared" si="419"/>
        <v>0</v>
      </c>
      <c r="S368" s="238"/>
    </row>
    <row r="369" spans="1:19" s="239" customFormat="1" ht="69.75" x14ac:dyDescent="0.25">
      <c r="A369" s="67" t="s">
        <v>269</v>
      </c>
      <c r="B369" s="68" t="s">
        <v>233</v>
      </c>
      <c r="C369" s="69" t="s">
        <v>17</v>
      </c>
      <c r="D369" s="76">
        <f t="shared" ref="D369:I369" si="450">SUM(D370:D374)</f>
        <v>0</v>
      </c>
      <c r="E369" s="76">
        <f t="shared" si="450"/>
        <v>0</v>
      </c>
      <c r="F369" s="76">
        <f t="shared" si="450"/>
        <v>0</v>
      </c>
      <c r="G369" s="76">
        <f t="shared" si="450"/>
        <v>8024.6</v>
      </c>
      <c r="H369" s="76">
        <f t="shared" si="450"/>
        <v>8024.6</v>
      </c>
      <c r="I369" s="76">
        <f t="shared" si="450"/>
        <v>3700</v>
      </c>
      <c r="J369" s="77">
        <f>I369/H369</f>
        <v>0.46</v>
      </c>
      <c r="K369" s="76">
        <f>SUM(K370:K374)</f>
        <v>3126.85</v>
      </c>
      <c r="L369" s="78">
        <f>K369/H369</f>
        <v>0.39</v>
      </c>
      <c r="M369" s="78">
        <f t="shared" si="445"/>
        <v>0.85</v>
      </c>
      <c r="N369" s="76">
        <f>SUM(N370:N374)</f>
        <v>8024.6</v>
      </c>
      <c r="O369" s="76">
        <f t="shared" si="446"/>
        <v>0</v>
      </c>
      <c r="P369" s="78">
        <f t="shared" si="427"/>
        <v>1</v>
      </c>
      <c r="Q369" s="76">
        <f t="shared" si="447"/>
        <v>4897.75</v>
      </c>
      <c r="R369" s="76">
        <f t="shared" si="419"/>
        <v>573.15</v>
      </c>
      <c r="S369" s="385" t="s">
        <v>466</v>
      </c>
    </row>
    <row r="370" spans="1:19" s="107" customFormat="1" x14ac:dyDescent="0.25">
      <c r="A370" s="74"/>
      <c r="B370" s="240" t="s">
        <v>83</v>
      </c>
      <c r="C370" s="75"/>
      <c r="D370" s="76"/>
      <c r="E370" s="76"/>
      <c r="F370" s="79"/>
      <c r="G370" s="76"/>
      <c r="H370" s="79"/>
      <c r="I370" s="76"/>
      <c r="J370" s="77"/>
      <c r="K370" s="76"/>
      <c r="L370" s="78"/>
      <c r="M370" s="78"/>
      <c r="N370" s="76"/>
      <c r="O370" s="79">
        <f t="shared" si="446"/>
        <v>0</v>
      </c>
      <c r="P370" s="39" t="e">
        <f t="shared" si="427"/>
        <v>#DIV/0!</v>
      </c>
      <c r="Q370" s="76">
        <f t="shared" si="447"/>
        <v>0</v>
      </c>
      <c r="R370" s="79">
        <f t="shared" si="419"/>
        <v>0</v>
      </c>
      <c r="S370" s="399"/>
    </row>
    <row r="371" spans="1:19" s="107" customFormat="1" x14ac:dyDescent="0.25">
      <c r="A371" s="74"/>
      <c r="B371" s="241" t="s">
        <v>8</v>
      </c>
      <c r="C371" s="80"/>
      <c r="D371" s="81"/>
      <c r="E371" s="81"/>
      <c r="F371" s="82"/>
      <c r="G371" s="81">
        <v>8024.6</v>
      </c>
      <c r="H371" s="81">
        <v>8024.6</v>
      </c>
      <c r="I371" s="76">
        <v>3700</v>
      </c>
      <c r="J371" s="77">
        <f>I371/H371</f>
        <v>0.46</v>
      </c>
      <c r="K371" s="76">
        <v>3126.85</v>
      </c>
      <c r="L371" s="84">
        <f>K371/H371</f>
        <v>0.39</v>
      </c>
      <c r="M371" s="84">
        <f t="shared" si="445"/>
        <v>0.85</v>
      </c>
      <c r="N371" s="81">
        <f>H371</f>
        <v>8024.6</v>
      </c>
      <c r="O371" s="81">
        <f t="shared" si="446"/>
        <v>0</v>
      </c>
      <c r="P371" s="84">
        <f t="shared" si="427"/>
        <v>1</v>
      </c>
      <c r="Q371" s="81">
        <f t="shared" si="447"/>
        <v>4897.75</v>
      </c>
      <c r="R371" s="81">
        <f t="shared" si="419"/>
        <v>573.15</v>
      </c>
      <c r="S371" s="399"/>
    </row>
    <row r="372" spans="1:19" s="107" customFormat="1" x14ac:dyDescent="0.25">
      <c r="A372" s="74"/>
      <c r="B372" s="241" t="s">
        <v>19</v>
      </c>
      <c r="C372" s="80"/>
      <c r="D372" s="81"/>
      <c r="E372" s="81"/>
      <c r="F372" s="82"/>
      <c r="G372" s="81"/>
      <c r="H372" s="81"/>
      <c r="I372" s="113"/>
      <c r="J372" s="38" t="e">
        <f>I372/H372</f>
        <v>#DIV/0!</v>
      </c>
      <c r="K372" s="41"/>
      <c r="L372" s="44" t="e">
        <f>K372/H372</f>
        <v>#DIV/0!</v>
      </c>
      <c r="M372" s="44" t="e">
        <f t="shared" si="445"/>
        <v>#DIV/0!</v>
      </c>
      <c r="N372" s="41"/>
      <c r="O372" s="332">
        <f t="shared" si="446"/>
        <v>0</v>
      </c>
      <c r="P372" s="44" t="e">
        <f t="shared" si="427"/>
        <v>#DIV/0!</v>
      </c>
      <c r="Q372" s="81">
        <f t="shared" si="447"/>
        <v>0</v>
      </c>
      <c r="R372" s="82">
        <f t="shared" si="419"/>
        <v>0</v>
      </c>
      <c r="S372" s="399"/>
    </row>
    <row r="373" spans="1:19" s="107" customFormat="1" x14ac:dyDescent="0.25">
      <c r="A373" s="74"/>
      <c r="B373" s="240" t="s">
        <v>22</v>
      </c>
      <c r="C373" s="75"/>
      <c r="D373" s="76"/>
      <c r="E373" s="76"/>
      <c r="F373" s="79"/>
      <c r="G373" s="76"/>
      <c r="H373" s="79"/>
      <c r="I373" s="161"/>
      <c r="J373" s="38"/>
      <c r="K373" s="37"/>
      <c r="L373" s="39"/>
      <c r="M373" s="39"/>
      <c r="N373" s="37"/>
      <c r="O373" s="60">
        <f t="shared" si="446"/>
        <v>0</v>
      </c>
      <c r="P373" s="39" t="e">
        <f t="shared" si="427"/>
        <v>#DIV/0!</v>
      </c>
      <c r="Q373" s="76">
        <f t="shared" si="447"/>
        <v>0</v>
      </c>
      <c r="R373" s="79">
        <f t="shared" si="419"/>
        <v>0</v>
      </c>
      <c r="S373" s="399"/>
    </row>
    <row r="374" spans="1:19" s="107" customFormat="1" collapsed="1" x14ac:dyDescent="0.25">
      <c r="A374" s="188"/>
      <c r="B374" s="240" t="s">
        <v>11</v>
      </c>
      <c r="C374" s="75"/>
      <c r="D374" s="76"/>
      <c r="E374" s="76"/>
      <c r="F374" s="79"/>
      <c r="G374" s="76"/>
      <c r="H374" s="79"/>
      <c r="I374" s="161"/>
      <c r="J374" s="38"/>
      <c r="K374" s="37"/>
      <c r="L374" s="39"/>
      <c r="M374" s="39"/>
      <c r="N374" s="37"/>
      <c r="O374" s="60">
        <f t="shared" si="446"/>
        <v>0</v>
      </c>
      <c r="P374" s="39" t="e">
        <f t="shared" si="427"/>
        <v>#DIV/0!</v>
      </c>
      <c r="Q374" s="76">
        <f t="shared" si="447"/>
        <v>0</v>
      </c>
      <c r="R374" s="79">
        <f t="shared" si="419"/>
        <v>0</v>
      </c>
      <c r="S374" s="400"/>
    </row>
    <row r="375" spans="1:19" s="243" customFormat="1" ht="144.75" customHeight="1" x14ac:dyDescent="0.25">
      <c r="A375" s="137" t="s">
        <v>34</v>
      </c>
      <c r="B375" s="138" t="s">
        <v>303</v>
      </c>
      <c r="C375" s="138" t="s">
        <v>9</v>
      </c>
      <c r="D375" s="139">
        <f t="shared" ref="D375:I375" si="451">SUM(D376:D380)</f>
        <v>0</v>
      </c>
      <c r="E375" s="139">
        <f>SUM(E376:E380)</f>
        <v>0</v>
      </c>
      <c r="F375" s="139">
        <f>SUM(F376:F380)</f>
        <v>0</v>
      </c>
      <c r="G375" s="139">
        <f>SUM(G376:G380)</f>
        <v>14031.36</v>
      </c>
      <c r="H375" s="139">
        <f t="shared" si="451"/>
        <v>14031.36</v>
      </c>
      <c r="I375" s="139">
        <f t="shared" si="451"/>
        <v>3134.68</v>
      </c>
      <c r="J375" s="140">
        <f>I375/H375</f>
        <v>0.22</v>
      </c>
      <c r="K375" s="139">
        <f t="shared" ref="K375" si="452">SUM(K376:K380)</f>
        <v>3105.38</v>
      </c>
      <c r="L375" s="141">
        <f>K375/H375</f>
        <v>0.22</v>
      </c>
      <c r="M375" s="140">
        <f>K375/I375</f>
        <v>0.99</v>
      </c>
      <c r="N375" s="139">
        <f t="shared" ref="N375:O375" si="453">SUM(N376:N380)</f>
        <v>13531.12</v>
      </c>
      <c r="O375" s="139">
        <f t="shared" si="453"/>
        <v>500.24</v>
      </c>
      <c r="P375" s="140">
        <f t="shared" ref="P375:P398" si="454">N375/H375</f>
        <v>0.96</v>
      </c>
      <c r="Q375" s="242">
        <f t="shared" ref="Q375:Q398" si="455">H375-K375</f>
        <v>10925.98</v>
      </c>
      <c r="R375" s="242">
        <f t="shared" ref="R375:R398" si="456">I375-K375</f>
        <v>29.3</v>
      </c>
      <c r="S375" s="372" t="s">
        <v>193</v>
      </c>
    </row>
    <row r="376" spans="1:19" s="231" customFormat="1" x14ac:dyDescent="0.25">
      <c r="A376" s="143"/>
      <c r="B376" s="145" t="s">
        <v>10</v>
      </c>
      <c r="C376" s="145"/>
      <c r="D376" s="146"/>
      <c r="E376" s="146"/>
      <c r="F376" s="146"/>
      <c r="G376" s="352">
        <f>G382+G388+G394</f>
        <v>0</v>
      </c>
      <c r="H376" s="352">
        <f t="shared" ref="H376:I376" si="457">H382+H388+H394</f>
        <v>0</v>
      </c>
      <c r="I376" s="352">
        <f t="shared" si="457"/>
        <v>0</v>
      </c>
      <c r="J376" s="353" t="e">
        <f t="shared" ref="J376:J380" si="458">I376/H376</f>
        <v>#DIV/0!</v>
      </c>
      <c r="K376" s="352">
        <f t="shared" ref="K376:K380" si="459">K382+K388+K394</f>
        <v>0</v>
      </c>
      <c r="L376" s="354" t="e">
        <f>K376/H376</f>
        <v>#DIV/0!</v>
      </c>
      <c r="M376" s="354" t="e">
        <f>K376/I376</f>
        <v>#DIV/0!</v>
      </c>
      <c r="N376" s="352">
        <f t="shared" ref="N376:O380" si="460">N382+N388+N394</f>
        <v>0</v>
      </c>
      <c r="O376" s="352">
        <f t="shared" si="460"/>
        <v>0</v>
      </c>
      <c r="P376" s="354" t="e">
        <f t="shared" si="454"/>
        <v>#DIV/0!</v>
      </c>
      <c r="Q376" s="201">
        <f t="shared" si="455"/>
        <v>0</v>
      </c>
      <c r="R376" s="201">
        <f t="shared" si="456"/>
        <v>0</v>
      </c>
      <c r="S376" s="373"/>
    </row>
    <row r="377" spans="1:19" s="231" customFormat="1" x14ac:dyDescent="0.25">
      <c r="A377" s="143"/>
      <c r="B377" s="145" t="s">
        <v>8</v>
      </c>
      <c r="C377" s="145"/>
      <c r="D377" s="146"/>
      <c r="E377" s="146"/>
      <c r="F377" s="146"/>
      <c r="G377" s="146">
        <f t="shared" ref="G377:I380" si="461">G383+G389+G395</f>
        <v>3492</v>
      </c>
      <c r="H377" s="146">
        <f t="shared" si="461"/>
        <v>3492</v>
      </c>
      <c r="I377" s="146">
        <f>I383+I389+I395</f>
        <v>1092</v>
      </c>
      <c r="J377" s="147">
        <f t="shared" si="458"/>
        <v>0.31</v>
      </c>
      <c r="K377" s="146">
        <f t="shared" si="459"/>
        <v>1062.7</v>
      </c>
      <c r="L377" s="148">
        <f t="shared" ref="L377:L384" si="462">K377/H377</f>
        <v>0.3</v>
      </c>
      <c r="M377" s="148">
        <f t="shared" ref="M377:M386" si="463">K377/I377</f>
        <v>0.97</v>
      </c>
      <c r="N377" s="146">
        <f t="shared" si="460"/>
        <v>2992</v>
      </c>
      <c r="O377" s="146">
        <f t="shared" si="460"/>
        <v>500</v>
      </c>
      <c r="P377" s="148">
        <f t="shared" si="454"/>
        <v>0.86</v>
      </c>
      <c r="Q377" s="201">
        <f t="shared" si="455"/>
        <v>2429.3000000000002</v>
      </c>
      <c r="R377" s="201">
        <f t="shared" si="456"/>
        <v>29.3</v>
      </c>
      <c r="S377" s="373"/>
    </row>
    <row r="378" spans="1:19" s="231" customFormat="1" x14ac:dyDescent="0.25">
      <c r="A378" s="143"/>
      <c r="B378" s="145" t="s">
        <v>19</v>
      </c>
      <c r="C378" s="145"/>
      <c r="D378" s="146"/>
      <c r="E378" s="146"/>
      <c r="F378" s="146"/>
      <c r="G378" s="146">
        <f t="shared" si="461"/>
        <v>10539.36</v>
      </c>
      <c r="H378" s="146">
        <f t="shared" si="461"/>
        <v>10539.36</v>
      </c>
      <c r="I378" s="146">
        <f>I384+I390+I396</f>
        <v>2042.68</v>
      </c>
      <c r="J378" s="147">
        <f t="shared" si="458"/>
        <v>0.19</v>
      </c>
      <c r="K378" s="146">
        <f t="shared" si="459"/>
        <v>2042.68</v>
      </c>
      <c r="L378" s="148">
        <f t="shared" si="462"/>
        <v>0.19</v>
      </c>
      <c r="M378" s="148">
        <f t="shared" si="463"/>
        <v>1</v>
      </c>
      <c r="N378" s="146">
        <f t="shared" si="460"/>
        <v>10539.12</v>
      </c>
      <c r="O378" s="146">
        <f t="shared" si="460"/>
        <v>0.24</v>
      </c>
      <c r="P378" s="148">
        <f t="shared" si="454"/>
        <v>1</v>
      </c>
      <c r="Q378" s="201">
        <f t="shared" si="455"/>
        <v>8496.68</v>
      </c>
      <c r="R378" s="201">
        <f t="shared" si="456"/>
        <v>0</v>
      </c>
      <c r="S378" s="373"/>
    </row>
    <row r="379" spans="1:19" s="231" customFormat="1" x14ac:dyDescent="0.25">
      <c r="A379" s="143"/>
      <c r="B379" s="145" t="s">
        <v>22</v>
      </c>
      <c r="C379" s="145"/>
      <c r="D379" s="146"/>
      <c r="E379" s="146"/>
      <c r="F379" s="146"/>
      <c r="G379" s="352">
        <f t="shared" si="461"/>
        <v>0</v>
      </c>
      <c r="H379" s="352">
        <f t="shared" si="461"/>
        <v>0</v>
      </c>
      <c r="I379" s="352">
        <f t="shared" si="461"/>
        <v>0</v>
      </c>
      <c r="J379" s="350" t="e">
        <f t="shared" si="458"/>
        <v>#DIV/0!</v>
      </c>
      <c r="K379" s="352">
        <f t="shared" si="459"/>
        <v>0</v>
      </c>
      <c r="L379" s="351" t="e">
        <f t="shared" si="462"/>
        <v>#DIV/0!</v>
      </c>
      <c r="M379" s="354" t="e">
        <f>K379/I379</f>
        <v>#DIV/0!</v>
      </c>
      <c r="N379" s="352">
        <f t="shared" si="460"/>
        <v>0</v>
      </c>
      <c r="O379" s="352">
        <f t="shared" si="460"/>
        <v>0</v>
      </c>
      <c r="P379" s="354" t="e">
        <f t="shared" si="454"/>
        <v>#DIV/0!</v>
      </c>
      <c r="Q379" s="201">
        <f t="shared" si="455"/>
        <v>0</v>
      </c>
      <c r="R379" s="201">
        <f t="shared" si="456"/>
        <v>0</v>
      </c>
      <c r="S379" s="373"/>
    </row>
    <row r="380" spans="1:19" s="231" customFormat="1" collapsed="1" x14ac:dyDescent="0.25">
      <c r="A380" s="151"/>
      <c r="B380" s="145" t="s">
        <v>11</v>
      </c>
      <c r="C380" s="145"/>
      <c r="D380" s="146"/>
      <c r="E380" s="146"/>
      <c r="F380" s="146"/>
      <c r="G380" s="352">
        <f t="shared" si="461"/>
        <v>0</v>
      </c>
      <c r="H380" s="352">
        <f t="shared" si="461"/>
        <v>0</v>
      </c>
      <c r="I380" s="352">
        <f t="shared" si="461"/>
        <v>0</v>
      </c>
      <c r="J380" s="350" t="e">
        <f t="shared" si="458"/>
        <v>#DIV/0!</v>
      </c>
      <c r="K380" s="352">
        <f t="shared" si="459"/>
        <v>0</v>
      </c>
      <c r="L380" s="350" t="e">
        <f t="shared" si="462"/>
        <v>#DIV/0!</v>
      </c>
      <c r="M380" s="354" t="e">
        <f t="shared" si="463"/>
        <v>#DIV/0!</v>
      </c>
      <c r="N380" s="352">
        <f t="shared" si="460"/>
        <v>0</v>
      </c>
      <c r="O380" s="352">
        <f t="shared" si="460"/>
        <v>0</v>
      </c>
      <c r="P380" s="354" t="e">
        <f t="shared" si="454"/>
        <v>#DIV/0!</v>
      </c>
      <c r="Q380" s="201">
        <f t="shared" si="455"/>
        <v>0</v>
      </c>
      <c r="R380" s="201">
        <f t="shared" si="456"/>
        <v>0</v>
      </c>
      <c r="S380" s="374"/>
    </row>
    <row r="381" spans="1:19" s="239" customFormat="1" ht="140.25" customHeight="1" x14ac:dyDescent="0.25">
      <c r="A381" s="67" t="s">
        <v>81</v>
      </c>
      <c r="B381" s="69" t="s">
        <v>504</v>
      </c>
      <c r="C381" s="69" t="s">
        <v>17</v>
      </c>
      <c r="D381" s="70">
        <f t="shared" ref="D381:I381" si="464">SUM(D382:D386)</f>
        <v>0</v>
      </c>
      <c r="E381" s="70">
        <f t="shared" si="464"/>
        <v>0</v>
      </c>
      <c r="F381" s="70">
        <f t="shared" si="464"/>
        <v>0</v>
      </c>
      <c r="G381" s="70">
        <f t="shared" si="464"/>
        <v>500</v>
      </c>
      <c r="H381" s="70">
        <f t="shared" si="464"/>
        <v>500</v>
      </c>
      <c r="I381" s="71">
        <f t="shared" si="464"/>
        <v>0</v>
      </c>
      <c r="J381" s="329">
        <f>I381/H381</f>
        <v>0</v>
      </c>
      <c r="K381" s="330">
        <f>SUM(K382:K386)</f>
        <v>0</v>
      </c>
      <c r="L381" s="38">
        <f t="shared" si="462"/>
        <v>0</v>
      </c>
      <c r="M381" s="38" t="e">
        <f t="shared" si="463"/>
        <v>#DIV/0!</v>
      </c>
      <c r="N381" s="70">
        <f>SUM(N382:N386)</f>
        <v>0</v>
      </c>
      <c r="O381" s="70">
        <f t="shared" ref="O381:O398" si="465">H381-N381</f>
        <v>500</v>
      </c>
      <c r="P381" s="73">
        <f t="shared" si="454"/>
        <v>0</v>
      </c>
      <c r="Q381" s="70">
        <f t="shared" si="455"/>
        <v>500</v>
      </c>
      <c r="R381" s="70">
        <f t="shared" si="456"/>
        <v>0</v>
      </c>
      <c r="S381" s="372" t="s">
        <v>513</v>
      </c>
    </row>
    <row r="382" spans="1:19" s="107" customFormat="1" ht="81.75" customHeight="1" x14ac:dyDescent="0.25">
      <c r="A382" s="167"/>
      <c r="B382" s="75" t="s">
        <v>10</v>
      </c>
      <c r="C382" s="75"/>
      <c r="D382" s="76"/>
      <c r="E382" s="76"/>
      <c r="F382" s="76"/>
      <c r="G382" s="76"/>
      <c r="H382" s="76"/>
      <c r="I382" s="161"/>
      <c r="J382" s="38"/>
      <c r="K382" s="37"/>
      <c r="L382" s="39"/>
      <c r="M382" s="38" t="e">
        <f t="shared" si="463"/>
        <v>#DIV/0!</v>
      </c>
      <c r="N382" s="76"/>
      <c r="O382" s="76">
        <f t="shared" si="465"/>
        <v>0</v>
      </c>
      <c r="P382" s="39" t="e">
        <f t="shared" si="454"/>
        <v>#DIV/0!</v>
      </c>
      <c r="Q382" s="76">
        <f t="shared" si="455"/>
        <v>0</v>
      </c>
      <c r="R382" s="76">
        <f t="shared" si="456"/>
        <v>0</v>
      </c>
      <c r="S382" s="373"/>
    </row>
    <row r="383" spans="1:19" s="107" customFormat="1" ht="36.75" customHeight="1" x14ac:dyDescent="0.25">
      <c r="A383" s="167"/>
      <c r="B383" s="75" t="s">
        <v>8</v>
      </c>
      <c r="C383" s="75"/>
      <c r="D383" s="76"/>
      <c r="E383" s="76"/>
      <c r="F383" s="76"/>
      <c r="G383" s="76">
        <v>500</v>
      </c>
      <c r="H383" s="76">
        <v>500</v>
      </c>
      <c r="I383" s="161"/>
      <c r="J383" s="38">
        <f>I383/H383</f>
        <v>0</v>
      </c>
      <c r="K383" s="37"/>
      <c r="L383" s="38">
        <f t="shared" si="462"/>
        <v>0</v>
      </c>
      <c r="M383" s="38" t="e">
        <f t="shared" si="463"/>
        <v>#DIV/0!</v>
      </c>
      <c r="N383" s="76"/>
      <c r="O383" s="76">
        <f t="shared" si="465"/>
        <v>500</v>
      </c>
      <c r="P383" s="39">
        <f t="shared" si="454"/>
        <v>0</v>
      </c>
      <c r="Q383" s="76">
        <f t="shared" si="455"/>
        <v>500</v>
      </c>
      <c r="R383" s="76">
        <f t="shared" si="456"/>
        <v>0</v>
      </c>
      <c r="S383" s="373"/>
    </row>
    <row r="384" spans="1:19" s="107" customFormat="1" ht="36.75" customHeight="1" x14ac:dyDescent="0.25">
      <c r="A384" s="167"/>
      <c r="B384" s="75" t="s">
        <v>19</v>
      </c>
      <c r="C384" s="75"/>
      <c r="D384" s="76"/>
      <c r="E384" s="76"/>
      <c r="F384" s="76"/>
      <c r="G384" s="76"/>
      <c r="H384" s="76"/>
      <c r="I384" s="161"/>
      <c r="J384" s="38" t="e">
        <f>I384/H384</f>
        <v>#DIV/0!</v>
      </c>
      <c r="K384" s="37"/>
      <c r="L384" s="38" t="e">
        <f t="shared" si="462"/>
        <v>#DIV/0!</v>
      </c>
      <c r="M384" s="38" t="e">
        <f t="shared" si="463"/>
        <v>#DIV/0!</v>
      </c>
      <c r="N384" s="76">
        <f>H384</f>
        <v>0</v>
      </c>
      <c r="O384" s="76">
        <f t="shared" si="465"/>
        <v>0</v>
      </c>
      <c r="P384" s="38" t="e">
        <f t="shared" si="454"/>
        <v>#DIV/0!</v>
      </c>
      <c r="Q384" s="76">
        <f t="shared" si="455"/>
        <v>0</v>
      </c>
      <c r="R384" s="76">
        <f t="shared" si="456"/>
        <v>0</v>
      </c>
      <c r="S384" s="373"/>
    </row>
    <row r="385" spans="1:19" s="107" customFormat="1" ht="36.75" customHeight="1" x14ac:dyDescent="0.25">
      <c r="A385" s="167"/>
      <c r="B385" s="75" t="s">
        <v>22</v>
      </c>
      <c r="C385" s="75"/>
      <c r="D385" s="76"/>
      <c r="E385" s="76"/>
      <c r="F385" s="79"/>
      <c r="G385" s="76"/>
      <c r="H385" s="79"/>
      <c r="I385" s="161"/>
      <c r="J385" s="29"/>
      <c r="K385" s="37"/>
      <c r="L385" s="39"/>
      <c r="M385" s="38" t="e">
        <f t="shared" si="463"/>
        <v>#DIV/0!</v>
      </c>
      <c r="N385" s="76"/>
      <c r="O385" s="79">
        <f t="shared" si="465"/>
        <v>0</v>
      </c>
      <c r="P385" s="39" t="e">
        <f t="shared" si="454"/>
        <v>#DIV/0!</v>
      </c>
      <c r="Q385" s="76">
        <f t="shared" si="455"/>
        <v>0</v>
      </c>
      <c r="R385" s="79">
        <f t="shared" si="456"/>
        <v>0</v>
      </c>
      <c r="S385" s="373"/>
    </row>
    <row r="386" spans="1:19" s="107" customFormat="1" ht="46.5" customHeight="1" collapsed="1" x14ac:dyDescent="0.25">
      <c r="A386" s="168"/>
      <c r="B386" s="75" t="s">
        <v>11</v>
      </c>
      <c r="C386" s="75"/>
      <c r="D386" s="76"/>
      <c r="E386" s="76"/>
      <c r="F386" s="79"/>
      <c r="G386" s="76"/>
      <c r="H386" s="79"/>
      <c r="I386" s="161"/>
      <c r="J386" s="29"/>
      <c r="K386" s="37"/>
      <c r="L386" s="39"/>
      <c r="M386" s="38" t="e">
        <f t="shared" si="463"/>
        <v>#DIV/0!</v>
      </c>
      <c r="N386" s="76"/>
      <c r="O386" s="79">
        <f t="shared" si="465"/>
        <v>0</v>
      </c>
      <c r="P386" s="39" t="e">
        <f t="shared" si="454"/>
        <v>#DIV/0!</v>
      </c>
      <c r="Q386" s="76">
        <f t="shared" si="455"/>
        <v>0</v>
      </c>
      <c r="R386" s="79">
        <f t="shared" si="456"/>
        <v>0</v>
      </c>
      <c r="S386" s="374"/>
    </row>
    <row r="387" spans="1:19" s="244" customFormat="1" ht="116.25" x14ac:dyDescent="0.25">
      <c r="A387" s="67" t="s">
        <v>107</v>
      </c>
      <c r="B387" s="69" t="s">
        <v>505</v>
      </c>
      <c r="C387" s="69" t="s">
        <v>17</v>
      </c>
      <c r="D387" s="70">
        <f t="shared" ref="D387:I387" si="466">SUM(D388:D392)</f>
        <v>0</v>
      </c>
      <c r="E387" s="70">
        <f t="shared" si="466"/>
        <v>0</v>
      </c>
      <c r="F387" s="70">
        <f t="shared" si="466"/>
        <v>0</v>
      </c>
      <c r="G387" s="70">
        <f t="shared" si="466"/>
        <v>1900</v>
      </c>
      <c r="H387" s="70">
        <f t="shared" si="466"/>
        <v>1900</v>
      </c>
      <c r="I387" s="70">
        <f t="shared" si="466"/>
        <v>0</v>
      </c>
      <c r="J387" s="329">
        <f>I387/H387</f>
        <v>0</v>
      </c>
      <c r="K387" s="330">
        <f>SUM(K388:K392)</f>
        <v>0</v>
      </c>
      <c r="L387" s="38">
        <f t="shared" ref="L387" si="467">K387/H387</f>
        <v>0</v>
      </c>
      <c r="M387" s="38" t="e">
        <f>K387/I387</f>
        <v>#DIV/0!</v>
      </c>
      <c r="N387" s="70">
        <f>SUM(N388:N392)</f>
        <v>1900</v>
      </c>
      <c r="O387" s="70">
        <f t="shared" si="465"/>
        <v>0</v>
      </c>
      <c r="P387" s="73">
        <f t="shared" si="454"/>
        <v>1</v>
      </c>
      <c r="Q387" s="70">
        <f t="shared" si="455"/>
        <v>1900</v>
      </c>
      <c r="R387" s="70">
        <f t="shared" si="456"/>
        <v>0</v>
      </c>
      <c r="S387" s="372" t="s">
        <v>495</v>
      </c>
    </row>
    <row r="388" spans="1:19" s="107" customFormat="1" ht="34.5" customHeight="1" x14ac:dyDescent="0.25">
      <c r="A388" s="167"/>
      <c r="B388" s="75" t="s">
        <v>10</v>
      </c>
      <c r="C388" s="75"/>
      <c r="D388" s="76"/>
      <c r="E388" s="76"/>
      <c r="F388" s="76"/>
      <c r="G388" s="76"/>
      <c r="H388" s="76"/>
      <c r="I388" s="161"/>
      <c r="J388" s="38"/>
      <c r="K388" s="37"/>
      <c r="L388" s="39"/>
      <c r="M388" s="38" t="e">
        <f t="shared" ref="M388:M392" si="468">K388/I388</f>
        <v>#DIV/0!</v>
      </c>
      <c r="N388" s="76"/>
      <c r="O388" s="76">
        <f t="shared" si="465"/>
        <v>0</v>
      </c>
      <c r="P388" s="39" t="e">
        <f t="shared" si="454"/>
        <v>#DIV/0!</v>
      </c>
      <c r="Q388" s="76">
        <f t="shared" si="455"/>
        <v>0</v>
      </c>
      <c r="R388" s="76">
        <f t="shared" si="456"/>
        <v>0</v>
      </c>
      <c r="S388" s="373"/>
    </row>
    <row r="389" spans="1:19" s="107" customFormat="1" ht="34.5" customHeight="1" x14ac:dyDescent="0.25">
      <c r="A389" s="167"/>
      <c r="B389" s="75" t="s">
        <v>8</v>
      </c>
      <c r="C389" s="75"/>
      <c r="D389" s="76"/>
      <c r="E389" s="76"/>
      <c r="F389" s="76"/>
      <c r="G389" s="76">
        <v>1900</v>
      </c>
      <c r="H389" s="76">
        <v>1900</v>
      </c>
      <c r="I389" s="76"/>
      <c r="J389" s="38">
        <f>I389/H389</f>
        <v>0</v>
      </c>
      <c r="K389" s="37"/>
      <c r="L389" s="38">
        <f t="shared" ref="L389" si="469">K389/H389</f>
        <v>0</v>
      </c>
      <c r="M389" s="38" t="e">
        <f t="shared" si="468"/>
        <v>#DIV/0!</v>
      </c>
      <c r="N389" s="76">
        <f>H389</f>
        <v>1900</v>
      </c>
      <c r="O389" s="76">
        <f t="shared" si="465"/>
        <v>0</v>
      </c>
      <c r="P389" s="78">
        <f t="shared" si="454"/>
        <v>1</v>
      </c>
      <c r="Q389" s="76">
        <f t="shared" si="455"/>
        <v>1900</v>
      </c>
      <c r="R389" s="76">
        <f t="shared" si="456"/>
        <v>0</v>
      </c>
      <c r="S389" s="373"/>
    </row>
    <row r="390" spans="1:19" s="107" customFormat="1" ht="34.5" customHeight="1" x14ac:dyDescent="0.25">
      <c r="A390" s="167"/>
      <c r="B390" s="75" t="s">
        <v>19</v>
      </c>
      <c r="C390" s="75"/>
      <c r="D390" s="76"/>
      <c r="E390" s="76"/>
      <c r="F390" s="76"/>
      <c r="G390" s="76"/>
      <c r="H390" s="76"/>
      <c r="I390" s="161"/>
      <c r="J390" s="38"/>
      <c r="K390" s="37"/>
      <c r="L390" s="39"/>
      <c r="M390" s="38" t="e">
        <f t="shared" si="468"/>
        <v>#DIV/0!</v>
      </c>
      <c r="N390" s="76">
        <f>H390</f>
        <v>0</v>
      </c>
      <c r="O390" s="76">
        <f t="shared" si="465"/>
        <v>0</v>
      </c>
      <c r="P390" s="39" t="e">
        <f t="shared" si="454"/>
        <v>#DIV/0!</v>
      </c>
      <c r="Q390" s="76">
        <f t="shared" si="455"/>
        <v>0</v>
      </c>
      <c r="R390" s="76">
        <f t="shared" si="456"/>
        <v>0</v>
      </c>
      <c r="S390" s="373"/>
    </row>
    <row r="391" spans="1:19" s="107" customFormat="1" ht="34.5" customHeight="1" x14ac:dyDescent="0.25">
      <c r="A391" s="167"/>
      <c r="B391" s="75" t="s">
        <v>22</v>
      </c>
      <c r="C391" s="75"/>
      <c r="D391" s="76"/>
      <c r="E391" s="76"/>
      <c r="F391" s="79"/>
      <c r="G391" s="76"/>
      <c r="H391" s="79"/>
      <c r="I391" s="161"/>
      <c r="J391" s="29"/>
      <c r="K391" s="37"/>
      <c r="L391" s="39"/>
      <c r="M391" s="38" t="e">
        <f t="shared" si="468"/>
        <v>#DIV/0!</v>
      </c>
      <c r="N391" s="76"/>
      <c r="O391" s="79">
        <f t="shared" si="465"/>
        <v>0</v>
      </c>
      <c r="P391" s="39" t="e">
        <f t="shared" si="454"/>
        <v>#DIV/0!</v>
      </c>
      <c r="Q391" s="76">
        <f t="shared" si="455"/>
        <v>0</v>
      </c>
      <c r="R391" s="79">
        <f t="shared" si="456"/>
        <v>0</v>
      </c>
      <c r="S391" s="373"/>
    </row>
    <row r="392" spans="1:19" s="107" customFormat="1" ht="34.5" customHeight="1" x14ac:dyDescent="0.25">
      <c r="A392" s="168"/>
      <c r="B392" s="75" t="s">
        <v>11</v>
      </c>
      <c r="C392" s="75"/>
      <c r="D392" s="76"/>
      <c r="E392" s="76"/>
      <c r="F392" s="79"/>
      <c r="G392" s="76"/>
      <c r="H392" s="79"/>
      <c r="I392" s="161"/>
      <c r="J392" s="29"/>
      <c r="K392" s="37"/>
      <c r="L392" s="39"/>
      <c r="M392" s="38" t="e">
        <f t="shared" si="468"/>
        <v>#DIV/0!</v>
      </c>
      <c r="N392" s="76"/>
      <c r="O392" s="79">
        <f t="shared" si="465"/>
        <v>0</v>
      </c>
      <c r="P392" s="39" t="e">
        <f t="shared" si="454"/>
        <v>#DIV/0!</v>
      </c>
      <c r="Q392" s="76">
        <f t="shared" si="455"/>
        <v>0</v>
      </c>
      <c r="R392" s="79">
        <f t="shared" si="456"/>
        <v>0</v>
      </c>
      <c r="S392" s="374"/>
    </row>
    <row r="393" spans="1:19" s="244" customFormat="1" ht="200.25" customHeight="1" x14ac:dyDescent="0.25">
      <c r="A393" s="67" t="s">
        <v>128</v>
      </c>
      <c r="B393" s="69" t="s">
        <v>506</v>
      </c>
      <c r="C393" s="69" t="s">
        <v>17</v>
      </c>
      <c r="D393" s="70">
        <f t="shared" ref="D393:I393" si="470">SUM(D394:D398)</f>
        <v>0</v>
      </c>
      <c r="E393" s="70">
        <f t="shared" si="470"/>
        <v>0</v>
      </c>
      <c r="F393" s="70">
        <f t="shared" si="470"/>
        <v>0</v>
      </c>
      <c r="G393" s="70">
        <f t="shared" si="470"/>
        <v>11631.36</v>
      </c>
      <c r="H393" s="70">
        <f t="shared" si="470"/>
        <v>11631.36</v>
      </c>
      <c r="I393" s="70">
        <f t="shared" si="470"/>
        <v>3134.68</v>
      </c>
      <c r="J393" s="72">
        <f>I393/H393</f>
        <v>0.27</v>
      </c>
      <c r="K393" s="70">
        <f>SUM(K394:K398)</f>
        <v>3105.38</v>
      </c>
      <c r="L393" s="72">
        <f>K393/H393</f>
        <v>0.27</v>
      </c>
      <c r="M393" s="221">
        <f>K393/I393</f>
        <v>0.99099999999999999</v>
      </c>
      <c r="N393" s="70">
        <f>SUM(N394:N398)</f>
        <v>11631.12</v>
      </c>
      <c r="O393" s="70">
        <f t="shared" si="465"/>
        <v>0.24</v>
      </c>
      <c r="P393" s="73">
        <f t="shared" si="454"/>
        <v>1</v>
      </c>
      <c r="Q393" s="70">
        <f t="shared" si="455"/>
        <v>8525.98</v>
      </c>
      <c r="R393" s="70">
        <f t="shared" si="456"/>
        <v>29.3</v>
      </c>
      <c r="S393" s="372" t="s">
        <v>425</v>
      </c>
    </row>
    <row r="394" spans="1:19" s="107" customFormat="1" ht="34.5" customHeight="1" x14ac:dyDescent="0.25">
      <c r="A394" s="167"/>
      <c r="B394" s="75" t="s">
        <v>10</v>
      </c>
      <c r="C394" s="75"/>
      <c r="D394" s="76"/>
      <c r="E394" s="76"/>
      <c r="F394" s="76"/>
      <c r="G394" s="76"/>
      <c r="H394" s="76"/>
      <c r="I394" s="161"/>
      <c r="J394" s="77"/>
      <c r="K394" s="76"/>
      <c r="L394" s="78"/>
      <c r="M394" s="38" t="e">
        <f t="shared" ref="M394:M398" si="471">K394/I394</f>
        <v>#DIV/0!</v>
      </c>
      <c r="N394" s="37"/>
      <c r="O394" s="37">
        <f t="shared" si="465"/>
        <v>0</v>
      </c>
      <c r="P394" s="39" t="e">
        <f t="shared" si="454"/>
        <v>#DIV/0!</v>
      </c>
      <c r="Q394" s="76">
        <f t="shared" si="455"/>
        <v>0</v>
      </c>
      <c r="R394" s="76">
        <f t="shared" si="456"/>
        <v>0</v>
      </c>
      <c r="S394" s="373"/>
    </row>
    <row r="395" spans="1:19" s="107" customFormat="1" ht="34.5" customHeight="1" x14ac:dyDescent="0.25">
      <c r="A395" s="167"/>
      <c r="B395" s="75" t="s">
        <v>8</v>
      </c>
      <c r="C395" s="75"/>
      <c r="D395" s="76"/>
      <c r="E395" s="76"/>
      <c r="F395" s="76"/>
      <c r="G395" s="76">
        <v>1092</v>
      </c>
      <c r="H395" s="76">
        <v>1092</v>
      </c>
      <c r="I395" s="197">
        <v>1092</v>
      </c>
      <c r="J395" s="199">
        <f>I395/H395</f>
        <v>1</v>
      </c>
      <c r="K395" s="197">
        <v>1062.7</v>
      </c>
      <c r="L395" s="199">
        <f>K395/H395</f>
        <v>0.97</v>
      </c>
      <c r="M395" s="199">
        <f>K395/I395</f>
        <v>0.97</v>
      </c>
      <c r="N395" s="197">
        <f>H395</f>
        <v>1092</v>
      </c>
      <c r="O395" s="197">
        <f t="shared" si="465"/>
        <v>0</v>
      </c>
      <c r="P395" s="198">
        <f t="shared" si="454"/>
        <v>1</v>
      </c>
      <c r="Q395" s="76">
        <f t="shared" si="455"/>
        <v>29.3</v>
      </c>
      <c r="R395" s="76">
        <f t="shared" si="456"/>
        <v>29.3</v>
      </c>
      <c r="S395" s="373"/>
    </row>
    <row r="396" spans="1:19" s="107" customFormat="1" ht="34.5" customHeight="1" x14ac:dyDescent="0.25">
      <c r="A396" s="167"/>
      <c r="B396" s="75" t="s">
        <v>19</v>
      </c>
      <c r="C396" s="75"/>
      <c r="D396" s="76"/>
      <c r="E396" s="76"/>
      <c r="F396" s="76"/>
      <c r="G396" s="76">
        <v>10539.36</v>
      </c>
      <c r="H396" s="76">
        <v>10539.36</v>
      </c>
      <c r="I396" s="76">
        <v>2042.68</v>
      </c>
      <c r="J396" s="77">
        <f>I396/H396</f>
        <v>0.19</v>
      </c>
      <c r="K396" s="76">
        <f>I396</f>
        <v>2042.68</v>
      </c>
      <c r="L396" s="77">
        <f>K396/H396</f>
        <v>0.19</v>
      </c>
      <c r="M396" s="77">
        <f>K396/I396</f>
        <v>1</v>
      </c>
      <c r="N396" s="76">
        <f>H396-0.24</f>
        <v>10539.12</v>
      </c>
      <c r="O396" s="76">
        <f>H396-N396</f>
        <v>0.24</v>
      </c>
      <c r="P396" s="78">
        <f t="shared" si="454"/>
        <v>1</v>
      </c>
      <c r="Q396" s="76">
        <f t="shared" si="455"/>
        <v>8496.68</v>
      </c>
      <c r="R396" s="76">
        <f t="shared" si="456"/>
        <v>0</v>
      </c>
      <c r="S396" s="373"/>
    </row>
    <row r="397" spans="1:19" s="107" customFormat="1" ht="34.5" customHeight="1" x14ac:dyDescent="0.25">
      <c r="A397" s="167"/>
      <c r="B397" s="75" t="s">
        <v>22</v>
      </c>
      <c r="C397" s="75"/>
      <c r="D397" s="76"/>
      <c r="E397" s="76"/>
      <c r="F397" s="79"/>
      <c r="G397" s="76"/>
      <c r="H397" s="79"/>
      <c r="I397" s="161"/>
      <c r="J397" s="124"/>
      <c r="K397" s="76"/>
      <c r="L397" s="78"/>
      <c r="M397" s="38" t="e">
        <f t="shared" si="471"/>
        <v>#DIV/0!</v>
      </c>
      <c r="N397" s="37"/>
      <c r="O397" s="60">
        <f t="shared" si="465"/>
        <v>0</v>
      </c>
      <c r="P397" s="39" t="e">
        <f t="shared" si="454"/>
        <v>#DIV/0!</v>
      </c>
      <c r="Q397" s="76">
        <f t="shared" si="455"/>
        <v>0</v>
      </c>
      <c r="R397" s="79">
        <f t="shared" si="456"/>
        <v>0</v>
      </c>
      <c r="S397" s="373"/>
    </row>
    <row r="398" spans="1:19" s="107" customFormat="1" ht="63" customHeight="1" x14ac:dyDescent="0.25">
      <c r="A398" s="168"/>
      <c r="B398" s="75" t="s">
        <v>11</v>
      </c>
      <c r="C398" s="75"/>
      <c r="D398" s="76"/>
      <c r="E398" s="76"/>
      <c r="F398" s="79"/>
      <c r="G398" s="76"/>
      <c r="H398" s="79"/>
      <c r="I398" s="161"/>
      <c r="J398" s="124"/>
      <c r="K398" s="76"/>
      <c r="L398" s="78"/>
      <c r="M398" s="38" t="e">
        <f t="shared" si="471"/>
        <v>#DIV/0!</v>
      </c>
      <c r="N398" s="37"/>
      <c r="O398" s="60">
        <f t="shared" si="465"/>
        <v>0</v>
      </c>
      <c r="P398" s="39" t="e">
        <f t="shared" si="454"/>
        <v>#DIV/0!</v>
      </c>
      <c r="Q398" s="76">
        <f t="shared" si="455"/>
        <v>0</v>
      </c>
      <c r="R398" s="79">
        <f t="shared" si="456"/>
        <v>0</v>
      </c>
      <c r="S398" s="374"/>
    </row>
    <row r="399" spans="1:19" s="150" customFormat="1" ht="112.5" outlineLevel="1" x14ac:dyDescent="0.25">
      <c r="A399" s="137" t="s">
        <v>35</v>
      </c>
      <c r="B399" s="138" t="s">
        <v>304</v>
      </c>
      <c r="C399" s="138" t="s">
        <v>9</v>
      </c>
      <c r="D399" s="139" t="e">
        <f>D401+D402+D403+#REF!+D404</f>
        <v>#REF!</v>
      </c>
      <c r="E399" s="139" t="e">
        <f>E401+E402+E403+#REF!+E404</f>
        <v>#REF!</v>
      </c>
      <c r="F399" s="139" t="e">
        <f>F401+F402+F403+#REF!+F404</f>
        <v>#REF!</v>
      </c>
      <c r="G399" s="348"/>
      <c r="H399" s="348">
        <f>SUM(H400:H404)</f>
        <v>0</v>
      </c>
      <c r="I399" s="349">
        <f>SUM(I400:I404)</f>
        <v>0</v>
      </c>
      <c r="J399" s="350" t="e">
        <f t="shared" ref="J399:J414" si="472">I399/H399</f>
        <v>#DIV/0!</v>
      </c>
      <c r="K399" s="348">
        <f>SUM(K400:K404)</f>
        <v>0</v>
      </c>
      <c r="L399" s="351" t="e">
        <f>K399/H399</f>
        <v>#DIV/0!</v>
      </c>
      <c r="M399" s="351" t="e">
        <f>K399/I399</f>
        <v>#DIV/0!</v>
      </c>
      <c r="N399" s="351"/>
      <c r="O399" s="351"/>
      <c r="P399" s="351" t="e">
        <f t="shared" ref="P399:P410" si="473">N399/L399</f>
        <v>#DIV/0!</v>
      </c>
      <c r="Q399" s="126"/>
      <c r="R399" s="126"/>
      <c r="S399" s="208" t="s">
        <v>60</v>
      </c>
    </row>
    <row r="400" spans="1:19" s="150" customFormat="1" ht="32.25" customHeight="1" outlineLevel="1" x14ac:dyDescent="0.25">
      <c r="A400" s="210"/>
      <c r="B400" s="211" t="s">
        <v>10</v>
      </c>
      <c r="C400" s="145"/>
      <c r="D400" s="146"/>
      <c r="E400" s="146"/>
      <c r="F400" s="146"/>
      <c r="G400" s="352"/>
      <c r="H400" s="352"/>
      <c r="I400" s="352"/>
      <c r="J400" s="353" t="e">
        <f t="shared" si="472"/>
        <v>#DIV/0!</v>
      </c>
      <c r="K400" s="352"/>
      <c r="L400" s="354" t="e">
        <f>K400/H400</f>
        <v>#DIV/0!</v>
      </c>
      <c r="M400" s="354" t="e">
        <f>K400/I400</f>
        <v>#DIV/0!</v>
      </c>
      <c r="N400" s="354"/>
      <c r="O400" s="354"/>
      <c r="P400" s="354" t="e">
        <f t="shared" si="473"/>
        <v>#DIV/0!</v>
      </c>
      <c r="Q400" s="149"/>
      <c r="R400" s="149"/>
      <c r="S400" s="212"/>
    </row>
    <row r="401" spans="1:20" s="150" customFormat="1" ht="32.25" customHeight="1" outlineLevel="1" x14ac:dyDescent="0.25">
      <c r="A401" s="210"/>
      <c r="B401" s="211" t="s">
        <v>8</v>
      </c>
      <c r="C401" s="145"/>
      <c r="D401" s="146" t="e">
        <f>#REF!+#REF!</f>
        <v>#REF!</v>
      </c>
      <c r="E401" s="146" t="e">
        <f>#REF!+#REF!</f>
        <v>#REF!</v>
      </c>
      <c r="F401" s="146" t="e">
        <f>#REF!+#REF!</f>
        <v>#REF!</v>
      </c>
      <c r="G401" s="352"/>
      <c r="H401" s="352"/>
      <c r="I401" s="352"/>
      <c r="J401" s="353" t="e">
        <f t="shared" si="472"/>
        <v>#DIV/0!</v>
      </c>
      <c r="K401" s="352"/>
      <c r="L401" s="354" t="e">
        <f>K401/H401</f>
        <v>#DIV/0!</v>
      </c>
      <c r="M401" s="354" t="e">
        <f>K401/I401</f>
        <v>#DIV/0!</v>
      </c>
      <c r="N401" s="354"/>
      <c r="O401" s="354"/>
      <c r="P401" s="354" t="e">
        <f t="shared" si="473"/>
        <v>#DIV/0!</v>
      </c>
      <c r="Q401" s="149"/>
      <c r="R401" s="149"/>
      <c r="S401" s="212"/>
    </row>
    <row r="402" spans="1:20" s="150" customFormat="1" ht="32.25" customHeight="1" outlineLevel="1" x14ac:dyDescent="0.25">
      <c r="A402" s="210"/>
      <c r="B402" s="211" t="s">
        <v>19</v>
      </c>
      <c r="C402" s="145"/>
      <c r="D402" s="146"/>
      <c r="E402" s="146"/>
      <c r="F402" s="146"/>
      <c r="G402" s="352"/>
      <c r="H402" s="352"/>
      <c r="I402" s="352"/>
      <c r="J402" s="353" t="e">
        <f t="shared" si="472"/>
        <v>#DIV/0!</v>
      </c>
      <c r="K402" s="352"/>
      <c r="L402" s="354" t="e">
        <f t="shared" ref="L402:L404" si="474">K402/H402</f>
        <v>#DIV/0!</v>
      </c>
      <c r="M402" s="354" t="e">
        <f t="shared" ref="M402:M404" si="475">K402/I402</f>
        <v>#DIV/0!</v>
      </c>
      <c r="N402" s="354"/>
      <c r="O402" s="354"/>
      <c r="P402" s="354" t="e">
        <f t="shared" si="473"/>
        <v>#DIV/0!</v>
      </c>
      <c r="Q402" s="149"/>
      <c r="R402" s="149"/>
      <c r="S402" s="212"/>
    </row>
    <row r="403" spans="1:20" s="150" customFormat="1" ht="32.25" customHeight="1" outlineLevel="1" x14ac:dyDescent="0.25">
      <c r="A403" s="210"/>
      <c r="B403" s="145" t="s">
        <v>22</v>
      </c>
      <c r="C403" s="145"/>
      <c r="D403" s="146"/>
      <c r="E403" s="146"/>
      <c r="F403" s="146"/>
      <c r="G403" s="352"/>
      <c r="H403" s="352"/>
      <c r="I403" s="352"/>
      <c r="J403" s="353" t="e">
        <f t="shared" si="472"/>
        <v>#DIV/0!</v>
      </c>
      <c r="K403" s="352"/>
      <c r="L403" s="354" t="e">
        <f t="shared" si="474"/>
        <v>#DIV/0!</v>
      </c>
      <c r="M403" s="354" t="e">
        <f t="shared" si="475"/>
        <v>#DIV/0!</v>
      </c>
      <c r="N403" s="354"/>
      <c r="O403" s="354"/>
      <c r="P403" s="354" t="e">
        <f t="shared" si="473"/>
        <v>#DIV/0!</v>
      </c>
      <c r="Q403" s="149"/>
      <c r="R403" s="149"/>
      <c r="S403" s="212"/>
    </row>
    <row r="404" spans="1:20" s="150" customFormat="1" ht="32.25" customHeight="1" outlineLevel="1" collapsed="1" x14ac:dyDescent="0.25">
      <c r="A404" s="213"/>
      <c r="B404" s="145" t="s">
        <v>11</v>
      </c>
      <c r="C404" s="145"/>
      <c r="D404" s="146"/>
      <c r="E404" s="146"/>
      <c r="F404" s="146"/>
      <c r="G404" s="352"/>
      <c r="H404" s="352"/>
      <c r="I404" s="352"/>
      <c r="J404" s="353" t="e">
        <f t="shared" si="472"/>
        <v>#DIV/0!</v>
      </c>
      <c r="K404" s="352"/>
      <c r="L404" s="354" t="e">
        <f t="shared" si="474"/>
        <v>#DIV/0!</v>
      </c>
      <c r="M404" s="354" t="e">
        <f t="shared" si="475"/>
        <v>#DIV/0!</v>
      </c>
      <c r="N404" s="354"/>
      <c r="O404" s="354"/>
      <c r="P404" s="354" t="e">
        <f t="shared" si="473"/>
        <v>#DIV/0!</v>
      </c>
      <c r="Q404" s="84"/>
      <c r="R404" s="84"/>
      <c r="S404" s="80"/>
    </row>
    <row r="405" spans="1:20" s="245" customFormat="1" ht="135" x14ac:dyDescent="0.25">
      <c r="A405" s="137" t="s">
        <v>36</v>
      </c>
      <c r="B405" s="138" t="s">
        <v>305</v>
      </c>
      <c r="C405" s="138" t="s">
        <v>9</v>
      </c>
      <c r="D405" s="139" t="e">
        <f>D407+D408+D409+#REF!+D410</f>
        <v>#REF!</v>
      </c>
      <c r="E405" s="139" t="e">
        <f>E407+E408+E409+#REF!+E410</f>
        <v>#REF!</v>
      </c>
      <c r="F405" s="139" t="e">
        <f>F407+F408+F409+#REF!+F410</f>
        <v>#REF!</v>
      </c>
      <c r="G405" s="348"/>
      <c r="H405" s="348">
        <f>SUM(H406:H410)</f>
        <v>0</v>
      </c>
      <c r="I405" s="349">
        <f>SUM(I406:I410)</f>
        <v>0</v>
      </c>
      <c r="J405" s="350" t="e">
        <f t="shared" si="472"/>
        <v>#DIV/0!</v>
      </c>
      <c r="K405" s="348">
        <f>SUM(K406:K410)</f>
        <v>0</v>
      </c>
      <c r="L405" s="351" t="e">
        <f>K405/H405</f>
        <v>#DIV/0!</v>
      </c>
      <c r="M405" s="351" t="e">
        <f>K405/I405</f>
        <v>#DIV/0!</v>
      </c>
      <c r="N405" s="351"/>
      <c r="O405" s="351"/>
      <c r="P405" s="351" t="e">
        <f t="shared" si="473"/>
        <v>#DIV/0!</v>
      </c>
      <c r="Q405" s="126"/>
      <c r="R405" s="126"/>
      <c r="S405" s="208" t="s">
        <v>60</v>
      </c>
    </row>
    <row r="406" spans="1:20" s="107" customFormat="1" ht="30.75" customHeight="1" x14ac:dyDescent="0.25">
      <c r="A406" s="210"/>
      <c r="B406" s="211" t="s">
        <v>10</v>
      </c>
      <c r="C406" s="145"/>
      <c r="D406" s="146"/>
      <c r="E406" s="146"/>
      <c r="F406" s="146"/>
      <c r="G406" s="352"/>
      <c r="H406" s="352"/>
      <c r="I406" s="352"/>
      <c r="J406" s="353" t="e">
        <f t="shared" si="472"/>
        <v>#DIV/0!</v>
      </c>
      <c r="K406" s="352"/>
      <c r="L406" s="354" t="e">
        <f>K406/H406</f>
        <v>#DIV/0!</v>
      </c>
      <c r="M406" s="354" t="e">
        <f>K406/I406</f>
        <v>#DIV/0!</v>
      </c>
      <c r="N406" s="354"/>
      <c r="O406" s="354"/>
      <c r="P406" s="354" t="e">
        <f t="shared" si="473"/>
        <v>#DIV/0!</v>
      </c>
      <c r="Q406" s="149"/>
      <c r="R406" s="149"/>
      <c r="S406" s="212"/>
    </row>
    <row r="407" spans="1:20" s="107" customFormat="1" ht="30.75" customHeight="1" x14ac:dyDescent="0.25">
      <c r="A407" s="210"/>
      <c r="B407" s="211" t="s">
        <v>8</v>
      </c>
      <c r="C407" s="145"/>
      <c r="D407" s="146" t="e">
        <f>#REF!+#REF!</f>
        <v>#REF!</v>
      </c>
      <c r="E407" s="146" t="e">
        <f>#REF!+#REF!</f>
        <v>#REF!</v>
      </c>
      <c r="F407" s="146" t="e">
        <f>#REF!+#REF!</f>
        <v>#REF!</v>
      </c>
      <c r="G407" s="352"/>
      <c r="H407" s="352"/>
      <c r="I407" s="352"/>
      <c r="J407" s="353" t="e">
        <f t="shared" si="472"/>
        <v>#DIV/0!</v>
      </c>
      <c r="K407" s="352"/>
      <c r="L407" s="354" t="e">
        <f>K407/H407</f>
        <v>#DIV/0!</v>
      </c>
      <c r="M407" s="354" t="e">
        <f>K407/I407</f>
        <v>#DIV/0!</v>
      </c>
      <c r="N407" s="354"/>
      <c r="O407" s="354"/>
      <c r="P407" s="354" t="e">
        <f t="shared" si="473"/>
        <v>#DIV/0!</v>
      </c>
      <c r="Q407" s="149"/>
      <c r="R407" s="149"/>
      <c r="S407" s="212"/>
    </row>
    <row r="408" spans="1:20" s="107" customFormat="1" ht="30.75" customHeight="1" x14ac:dyDescent="0.25">
      <c r="A408" s="210"/>
      <c r="B408" s="211" t="s">
        <v>19</v>
      </c>
      <c r="C408" s="145"/>
      <c r="D408" s="146"/>
      <c r="E408" s="146"/>
      <c r="F408" s="146"/>
      <c r="G408" s="352"/>
      <c r="H408" s="352"/>
      <c r="I408" s="352"/>
      <c r="J408" s="353" t="e">
        <f t="shared" si="472"/>
        <v>#DIV/0!</v>
      </c>
      <c r="K408" s="352"/>
      <c r="L408" s="354" t="e">
        <f t="shared" ref="L408:L410" si="476">K408/H408</f>
        <v>#DIV/0!</v>
      </c>
      <c r="M408" s="354" t="e">
        <f t="shared" ref="M408:M410" si="477">K408/I408</f>
        <v>#DIV/0!</v>
      </c>
      <c r="N408" s="354"/>
      <c r="O408" s="354"/>
      <c r="P408" s="354" t="e">
        <f t="shared" si="473"/>
        <v>#DIV/0!</v>
      </c>
      <c r="Q408" s="149"/>
      <c r="R408" s="149"/>
      <c r="S408" s="212"/>
    </row>
    <row r="409" spans="1:20" s="107" customFormat="1" ht="30.75" customHeight="1" x14ac:dyDescent="0.25">
      <c r="A409" s="210"/>
      <c r="B409" s="145" t="s">
        <v>22</v>
      </c>
      <c r="C409" s="145"/>
      <c r="D409" s="146"/>
      <c r="E409" s="146"/>
      <c r="F409" s="146"/>
      <c r="G409" s="352"/>
      <c r="H409" s="352"/>
      <c r="I409" s="352"/>
      <c r="J409" s="353" t="e">
        <f t="shared" si="472"/>
        <v>#DIV/0!</v>
      </c>
      <c r="K409" s="352"/>
      <c r="L409" s="354" t="e">
        <f t="shared" si="476"/>
        <v>#DIV/0!</v>
      </c>
      <c r="M409" s="354" t="e">
        <f t="shared" si="477"/>
        <v>#DIV/0!</v>
      </c>
      <c r="N409" s="354"/>
      <c r="O409" s="354"/>
      <c r="P409" s="354" t="e">
        <f t="shared" si="473"/>
        <v>#DIV/0!</v>
      </c>
      <c r="Q409" s="149"/>
      <c r="R409" s="149"/>
      <c r="S409" s="212"/>
    </row>
    <row r="410" spans="1:20" s="107" customFormat="1" ht="30.75" customHeight="1" collapsed="1" x14ac:dyDescent="0.25">
      <c r="A410" s="213"/>
      <c r="B410" s="145" t="s">
        <v>11</v>
      </c>
      <c r="C410" s="145"/>
      <c r="D410" s="146"/>
      <c r="E410" s="146"/>
      <c r="F410" s="146"/>
      <c r="G410" s="352"/>
      <c r="H410" s="352"/>
      <c r="I410" s="352"/>
      <c r="J410" s="353" t="e">
        <f t="shared" si="472"/>
        <v>#DIV/0!</v>
      </c>
      <c r="K410" s="352"/>
      <c r="L410" s="354" t="e">
        <f t="shared" si="476"/>
        <v>#DIV/0!</v>
      </c>
      <c r="M410" s="354" t="e">
        <f t="shared" si="477"/>
        <v>#DIV/0!</v>
      </c>
      <c r="N410" s="354"/>
      <c r="O410" s="354"/>
      <c r="P410" s="354" t="e">
        <f t="shared" si="473"/>
        <v>#DIV/0!</v>
      </c>
      <c r="Q410" s="84"/>
      <c r="R410" s="84"/>
      <c r="S410" s="80"/>
    </row>
    <row r="411" spans="1:20" s="239" customFormat="1" ht="159.75" customHeight="1" x14ac:dyDescent="0.25">
      <c r="A411" s="396" t="s">
        <v>37</v>
      </c>
      <c r="B411" s="138" t="s">
        <v>306</v>
      </c>
      <c r="C411" s="138" t="s">
        <v>9</v>
      </c>
      <c r="D411" s="139">
        <f>SUM(D412:D416)</f>
        <v>0</v>
      </c>
      <c r="E411" s="139">
        <f>SUM(E412:E416)</f>
        <v>0</v>
      </c>
      <c r="F411" s="139">
        <f>SUM(F412:F416)</f>
        <v>0</v>
      </c>
      <c r="G411" s="139">
        <f>SUM(G412:G416)</f>
        <v>1343098.33</v>
      </c>
      <c r="H411" s="139">
        <f t="shared" ref="H411:K411" si="478">SUM(H412:H416)</f>
        <v>1611089</v>
      </c>
      <c r="I411" s="139">
        <f t="shared" si="478"/>
        <v>992972.7</v>
      </c>
      <c r="J411" s="140">
        <f t="shared" si="472"/>
        <v>0.62</v>
      </c>
      <c r="K411" s="139">
        <f t="shared" si="478"/>
        <v>979404.65</v>
      </c>
      <c r="L411" s="214">
        <f>K411/H411</f>
        <v>0.60799999999999998</v>
      </c>
      <c r="M411" s="140">
        <f>K411/I411</f>
        <v>0.99</v>
      </c>
      <c r="N411" s="139">
        <f t="shared" ref="N411:O411" si="479">SUM(N412:N416)</f>
        <v>1611089</v>
      </c>
      <c r="O411" s="348">
        <f t="shared" si="479"/>
        <v>0</v>
      </c>
      <c r="P411" s="140">
        <f t="shared" ref="P411:P462" si="480">N411/H411</f>
        <v>1</v>
      </c>
      <c r="Q411" s="191"/>
      <c r="R411" s="191"/>
      <c r="S411" s="246" t="s">
        <v>389</v>
      </c>
      <c r="T411" s="247"/>
    </row>
    <row r="412" spans="1:20" s="107" customFormat="1" ht="69" customHeight="1" x14ac:dyDescent="0.25">
      <c r="A412" s="397"/>
      <c r="B412" s="145" t="s">
        <v>10</v>
      </c>
      <c r="C412" s="145"/>
      <c r="D412" s="146"/>
      <c r="E412" s="146"/>
      <c r="F412" s="146"/>
      <c r="G412" s="146">
        <f t="shared" ref="G412:I416" si="481">G418+G454</f>
        <v>14306.5</v>
      </c>
      <c r="H412" s="146">
        <f t="shared" si="481"/>
        <v>17057.03</v>
      </c>
      <c r="I412" s="146">
        <f t="shared" si="481"/>
        <v>13734.06</v>
      </c>
      <c r="J412" s="215">
        <f t="shared" si="472"/>
        <v>0.80500000000000005</v>
      </c>
      <c r="K412" s="146">
        <f>K418+K454</f>
        <v>3038.69</v>
      </c>
      <c r="L412" s="215">
        <f>K412/H412</f>
        <v>0.17799999999999999</v>
      </c>
      <c r="M412" s="147">
        <f t="shared" ref="M412:M416" si="482">K412/I412</f>
        <v>0.22</v>
      </c>
      <c r="N412" s="146">
        <f t="shared" ref="N412:O416" si="483">N418+N454</f>
        <v>17057.03</v>
      </c>
      <c r="O412" s="352">
        <f t="shared" si="483"/>
        <v>0</v>
      </c>
      <c r="P412" s="147">
        <f t="shared" si="480"/>
        <v>1</v>
      </c>
      <c r="Q412" s="160"/>
      <c r="R412" s="160"/>
      <c r="S412" s="366" t="s">
        <v>390</v>
      </c>
      <c r="T412" s="248"/>
    </row>
    <row r="413" spans="1:20" s="107" customFormat="1" ht="69" customHeight="1" x14ac:dyDescent="0.25">
      <c r="A413" s="397"/>
      <c r="B413" s="145" t="s">
        <v>8</v>
      </c>
      <c r="C413" s="145"/>
      <c r="D413" s="146">
        <f t="shared" ref="D413:F414" si="484">D419+D425</f>
        <v>0</v>
      </c>
      <c r="E413" s="146">
        <f t="shared" si="484"/>
        <v>0</v>
      </c>
      <c r="F413" s="146">
        <f t="shared" si="484"/>
        <v>0</v>
      </c>
      <c r="G413" s="146">
        <f t="shared" si="481"/>
        <v>1172140.17</v>
      </c>
      <c r="H413" s="146">
        <f t="shared" si="481"/>
        <v>1437380.31</v>
      </c>
      <c r="I413" s="146">
        <f t="shared" si="481"/>
        <v>873191.35</v>
      </c>
      <c r="J413" s="215">
        <f t="shared" si="472"/>
        <v>0.60699999999999998</v>
      </c>
      <c r="K413" s="146">
        <f>K419+K455</f>
        <v>870318.67</v>
      </c>
      <c r="L413" s="215">
        <f t="shared" ref="L413:L416" si="485">K413/H413</f>
        <v>0.60499999999999998</v>
      </c>
      <c r="M413" s="147">
        <f t="shared" si="482"/>
        <v>1</v>
      </c>
      <c r="N413" s="146">
        <f t="shared" si="483"/>
        <v>1437380.31</v>
      </c>
      <c r="O413" s="352">
        <f t="shared" si="483"/>
        <v>0</v>
      </c>
      <c r="P413" s="147">
        <f t="shared" si="480"/>
        <v>1</v>
      </c>
      <c r="Q413" s="160"/>
      <c r="R413" s="160"/>
      <c r="S413" s="366"/>
      <c r="T413" s="248"/>
    </row>
    <row r="414" spans="1:20" s="107" customFormat="1" ht="69" customHeight="1" x14ac:dyDescent="0.25">
      <c r="A414" s="217"/>
      <c r="B414" s="178" t="s">
        <v>19</v>
      </c>
      <c r="C414" s="178"/>
      <c r="D414" s="179">
        <f t="shared" si="484"/>
        <v>0</v>
      </c>
      <c r="E414" s="179">
        <f t="shared" si="484"/>
        <v>0</v>
      </c>
      <c r="F414" s="179">
        <f t="shared" si="484"/>
        <v>0</v>
      </c>
      <c r="G414" s="146">
        <f t="shared" si="481"/>
        <v>154895.75</v>
      </c>
      <c r="H414" s="146">
        <f t="shared" si="481"/>
        <v>154895.75</v>
      </c>
      <c r="I414" s="146">
        <f t="shared" si="481"/>
        <v>106047.29</v>
      </c>
      <c r="J414" s="249">
        <f t="shared" si="472"/>
        <v>0.68500000000000005</v>
      </c>
      <c r="K414" s="146">
        <f>K420+K456</f>
        <v>106047.29</v>
      </c>
      <c r="L414" s="249">
        <f t="shared" si="485"/>
        <v>0.68500000000000005</v>
      </c>
      <c r="M414" s="218">
        <f t="shared" si="482"/>
        <v>1</v>
      </c>
      <c r="N414" s="146">
        <f t="shared" si="483"/>
        <v>154895.75</v>
      </c>
      <c r="O414" s="355">
        <f t="shared" si="483"/>
        <v>0</v>
      </c>
      <c r="P414" s="218">
        <f t="shared" si="480"/>
        <v>1</v>
      </c>
      <c r="Q414" s="250"/>
      <c r="R414" s="250"/>
      <c r="S414" s="366" t="s">
        <v>364</v>
      </c>
    </row>
    <row r="415" spans="1:20" s="107" customFormat="1" ht="69" customHeight="1" x14ac:dyDescent="0.25">
      <c r="A415" s="217"/>
      <c r="B415" s="145" t="s">
        <v>22</v>
      </c>
      <c r="C415" s="145"/>
      <c r="D415" s="146"/>
      <c r="E415" s="146"/>
      <c r="F415" s="146"/>
      <c r="G415" s="146">
        <f t="shared" si="481"/>
        <v>1755.91</v>
      </c>
      <c r="H415" s="146">
        <f t="shared" si="481"/>
        <v>1755.91</v>
      </c>
      <c r="I415" s="352">
        <f t="shared" si="481"/>
        <v>0</v>
      </c>
      <c r="J415" s="359">
        <f t="shared" ref="J415:J416" si="486">I415/H415</f>
        <v>0</v>
      </c>
      <c r="K415" s="352">
        <f>K421+K457</f>
        <v>0</v>
      </c>
      <c r="L415" s="359">
        <f t="shared" si="485"/>
        <v>0</v>
      </c>
      <c r="M415" s="353" t="e">
        <f t="shared" si="482"/>
        <v>#DIV/0!</v>
      </c>
      <c r="N415" s="146">
        <f t="shared" si="483"/>
        <v>1755.91</v>
      </c>
      <c r="O415" s="352">
        <f t="shared" si="483"/>
        <v>0</v>
      </c>
      <c r="P415" s="147">
        <f t="shared" si="480"/>
        <v>1</v>
      </c>
      <c r="Q415" s="251"/>
      <c r="R415" s="251"/>
      <c r="S415" s="366"/>
    </row>
    <row r="416" spans="1:20" s="107" customFormat="1" ht="69" customHeight="1" collapsed="1" x14ac:dyDescent="0.25">
      <c r="A416" s="220"/>
      <c r="B416" s="145" t="s">
        <v>11</v>
      </c>
      <c r="C416" s="145"/>
      <c r="D416" s="146"/>
      <c r="E416" s="146"/>
      <c r="F416" s="146"/>
      <c r="G416" s="146">
        <f t="shared" si="481"/>
        <v>0</v>
      </c>
      <c r="H416" s="146">
        <f t="shared" si="481"/>
        <v>0</v>
      </c>
      <c r="I416" s="352">
        <f t="shared" si="481"/>
        <v>0</v>
      </c>
      <c r="J416" s="359" t="e">
        <f t="shared" si="486"/>
        <v>#DIV/0!</v>
      </c>
      <c r="K416" s="352">
        <f>K422+K458</f>
        <v>0</v>
      </c>
      <c r="L416" s="359" t="e">
        <f t="shared" si="485"/>
        <v>#DIV/0!</v>
      </c>
      <c r="M416" s="353" t="e">
        <f t="shared" si="482"/>
        <v>#DIV/0!</v>
      </c>
      <c r="N416" s="61">
        <f t="shared" si="483"/>
        <v>0</v>
      </c>
      <c r="O416" s="352">
        <f t="shared" si="483"/>
        <v>0</v>
      </c>
      <c r="P416" s="359" t="e">
        <f t="shared" si="480"/>
        <v>#DIV/0!</v>
      </c>
      <c r="Q416" s="252"/>
      <c r="R416" s="252"/>
      <c r="S416" s="80" t="s">
        <v>365</v>
      </c>
    </row>
    <row r="417" spans="1:19" s="239" customFormat="1" ht="46.5" x14ac:dyDescent="0.25">
      <c r="A417" s="253" t="s">
        <v>129</v>
      </c>
      <c r="B417" s="154" t="s">
        <v>91</v>
      </c>
      <c r="C417" s="154" t="s">
        <v>2</v>
      </c>
      <c r="D417" s="155">
        <f t="shared" ref="D417:I417" si="487">SUM(D418:D422)</f>
        <v>0</v>
      </c>
      <c r="E417" s="155">
        <f t="shared" si="487"/>
        <v>0</v>
      </c>
      <c r="F417" s="155">
        <f t="shared" si="487"/>
        <v>0</v>
      </c>
      <c r="G417" s="155">
        <f>SUM(G418:G422)</f>
        <v>1318743.51</v>
      </c>
      <c r="H417" s="155">
        <f t="shared" si="487"/>
        <v>1585986.02</v>
      </c>
      <c r="I417" s="155">
        <f t="shared" si="487"/>
        <v>977330.39</v>
      </c>
      <c r="J417" s="182">
        <f>I417/H417</f>
        <v>0.62</v>
      </c>
      <c r="K417" s="155">
        <f>SUM(K418:K422)</f>
        <v>975593.63</v>
      </c>
      <c r="L417" s="222">
        <f>K417/H417</f>
        <v>0.61499999999999999</v>
      </c>
      <c r="M417" s="182">
        <f>K417/I417</f>
        <v>1</v>
      </c>
      <c r="N417" s="155">
        <f>SUM(N418:N422)</f>
        <v>1585986.02</v>
      </c>
      <c r="O417" s="155">
        <f>H417-N417</f>
        <v>0</v>
      </c>
      <c r="P417" s="182">
        <f t="shared" si="480"/>
        <v>1</v>
      </c>
      <c r="Q417" s="182"/>
      <c r="R417" s="182"/>
      <c r="S417" s="405"/>
    </row>
    <row r="418" spans="1:19" s="107" customFormat="1" ht="27" customHeight="1" x14ac:dyDescent="0.25">
      <c r="A418" s="254"/>
      <c r="B418" s="163" t="s">
        <v>10</v>
      </c>
      <c r="C418" s="80"/>
      <c r="D418" s="81"/>
      <c r="E418" s="81"/>
      <c r="F418" s="81"/>
      <c r="G418" s="81">
        <f t="shared" ref="G418:I422" si="488">G424+G430+G436+G448</f>
        <v>0</v>
      </c>
      <c r="H418" s="81">
        <f t="shared" si="488"/>
        <v>0</v>
      </c>
      <c r="I418" s="81">
        <f t="shared" si="488"/>
        <v>0</v>
      </c>
      <c r="J418" s="44" t="e">
        <f t="shared" ref="J418" si="489">I418/H418</f>
        <v>#DIV/0!</v>
      </c>
      <c r="K418" s="41">
        <f>K424+K430+K436+K448</f>
        <v>0</v>
      </c>
      <c r="L418" s="41" t="e">
        <f>L424+L430+#REF!+#REF!+L442+#REF!</f>
        <v>#DIV/0!</v>
      </c>
      <c r="M418" s="39" t="e">
        <f t="shared" ref="M418" si="490">K418/I418</f>
        <v>#DIV/0!</v>
      </c>
      <c r="N418" s="41">
        <f>N424+N430+N436+N448</f>
        <v>0</v>
      </c>
      <c r="O418" s="41">
        <f t="shared" ref="O418:O422" si="491">O424+O430+O436</f>
        <v>0</v>
      </c>
      <c r="P418" s="44" t="e">
        <f t="shared" si="480"/>
        <v>#DIV/0!</v>
      </c>
      <c r="Q418" s="84"/>
      <c r="R418" s="84"/>
      <c r="S418" s="405"/>
    </row>
    <row r="419" spans="1:19" s="107" customFormat="1" ht="27" customHeight="1" x14ac:dyDescent="0.25">
      <c r="A419" s="254"/>
      <c r="B419" s="163" t="s">
        <v>8</v>
      </c>
      <c r="C419" s="80"/>
      <c r="D419" s="81"/>
      <c r="E419" s="81"/>
      <c r="F419" s="81">
        <f>D419-E419</f>
        <v>0</v>
      </c>
      <c r="G419" s="81">
        <f>G425+G431+G437+G449</f>
        <v>1162545.3500000001</v>
      </c>
      <c r="H419" s="81">
        <f t="shared" si="488"/>
        <v>1429787.86</v>
      </c>
      <c r="I419" s="81">
        <f t="shared" si="488"/>
        <v>871283.1</v>
      </c>
      <c r="J419" s="84">
        <f>I419/H419</f>
        <v>0.61</v>
      </c>
      <c r="K419" s="81">
        <f>K425+K431+K437+K449</f>
        <v>869546.34</v>
      </c>
      <c r="L419" s="78">
        <f t="shared" ref="L419:L421" si="492">K419/H419</f>
        <v>0.61</v>
      </c>
      <c r="M419" s="78">
        <f>K419/I419</f>
        <v>1</v>
      </c>
      <c r="N419" s="81">
        <f>N425+N431+N437+N449</f>
        <v>1429787.86</v>
      </c>
      <c r="O419" s="81">
        <f t="shared" si="491"/>
        <v>0</v>
      </c>
      <c r="P419" s="84">
        <f t="shared" si="480"/>
        <v>1</v>
      </c>
      <c r="Q419" s="84"/>
      <c r="R419" s="84"/>
      <c r="S419" s="405"/>
    </row>
    <row r="420" spans="1:19" s="107" customFormat="1" ht="27" customHeight="1" x14ac:dyDescent="0.25">
      <c r="A420" s="254"/>
      <c r="B420" s="226" t="s">
        <v>19</v>
      </c>
      <c r="C420" s="75"/>
      <c r="D420" s="76"/>
      <c r="E420" s="76"/>
      <c r="F420" s="76"/>
      <c r="G420" s="81">
        <f t="shared" si="488"/>
        <v>154442.25</v>
      </c>
      <c r="H420" s="81">
        <f t="shared" si="488"/>
        <v>154442.25</v>
      </c>
      <c r="I420" s="81">
        <f t="shared" si="488"/>
        <v>106047.29</v>
      </c>
      <c r="J420" s="84">
        <f t="shared" ref="J420:J422" si="493">I420/H420</f>
        <v>0.69</v>
      </c>
      <c r="K420" s="81">
        <f>K426+K432+K438+K450</f>
        <v>106047.29</v>
      </c>
      <c r="L420" s="78">
        <f t="shared" si="492"/>
        <v>0.69</v>
      </c>
      <c r="M420" s="78">
        <f t="shared" ref="M420:M422" si="494">K420/I420</f>
        <v>1</v>
      </c>
      <c r="N420" s="81">
        <f>N426+N432+N438+N450</f>
        <v>154442.25</v>
      </c>
      <c r="O420" s="81">
        <f t="shared" si="491"/>
        <v>0</v>
      </c>
      <c r="P420" s="84">
        <f t="shared" si="480"/>
        <v>1</v>
      </c>
      <c r="Q420" s="84"/>
      <c r="R420" s="84"/>
      <c r="S420" s="405"/>
    </row>
    <row r="421" spans="1:19" s="107" customFormat="1" ht="27" customHeight="1" x14ac:dyDescent="0.25">
      <c r="A421" s="254"/>
      <c r="B421" s="75" t="s">
        <v>22</v>
      </c>
      <c r="C421" s="75"/>
      <c r="D421" s="76"/>
      <c r="E421" s="76"/>
      <c r="F421" s="76"/>
      <c r="G421" s="81">
        <f t="shared" si="488"/>
        <v>1755.91</v>
      </c>
      <c r="H421" s="81">
        <f t="shared" si="488"/>
        <v>1755.91</v>
      </c>
      <c r="I421" s="81">
        <f t="shared" si="488"/>
        <v>0</v>
      </c>
      <c r="J421" s="44">
        <f t="shared" si="493"/>
        <v>0</v>
      </c>
      <c r="K421" s="41">
        <f>K427+K433+K439+K451</f>
        <v>0</v>
      </c>
      <c r="L421" s="39">
        <f t="shared" si="492"/>
        <v>0</v>
      </c>
      <c r="M421" s="39" t="e">
        <f t="shared" si="494"/>
        <v>#DIV/0!</v>
      </c>
      <c r="N421" s="81">
        <f>N427+N433+N439+N451</f>
        <v>1755.91</v>
      </c>
      <c r="O421" s="81">
        <f t="shared" si="491"/>
        <v>0</v>
      </c>
      <c r="P421" s="84">
        <f t="shared" si="480"/>
        <v>1</v>
      </c>
      <c r="Q421" s="84"/>
      <c r="R421" s="84"/>
      <c r="S421" s="405"/>
    </row>
    <row r="422" spans="1:19" s="107" customFormat="1" ht="27" customHeight="1" collapsed="1" x14ac:dyDescent="0.25">
      <c r="A422" s="255"/>
      <c r="B422" s="226" t="s">
        <v>11</v>
      </c>
      <c r="C422" s="75"/>
      <c r="D422" s="76"/>
      <c r="E422" s="76"/>
      <c r="F422" s="76"/>
      <c r="G422" s="81">
        <f t="shared" si="488"/>
        <v>0</v>
      </c>
      <c r="H422" s="81">
        <f t="shared" si="488"/>
        <v>0</v>
      </c>
      <c r="I422" s="81">
        <f t="shared" si="488"/>
        <v>0</v>
      </c>
      <c r="J422" s="44" t="e">
        <f t="shared" si="493"/>
        <v>#DIV/0!</v>
      </c>
      <c r="K422" s="41">
        <f>K428+K434+K440+K452</f>
        <v>0</v>
      </c>
      <c r="L422" s="41" t="e">
        <f>L428+L434+#REF!+#REF!+L446+#REF!</f>
        <v>#DIV/0!</v>
      </c>
      <c r="M422" s="39" t="e">
        <f t="shared" si="494"/>
        <v>#DIV/0!</v>
      </c>
      <c r="N422" s="41">
        <f>N428+N434+N440+N452</f>
        <v>0</v>
      </c>
      <c r="O422" s="41">
        <f t="shared" si="491"/>
        <v>0</v>
      </c>
      <c r="P422" s="44" t="e">
        <f t="shared" si="480"/>
        <v>#DIV/0!</v>
      </c>
      <c r="Q422" s="84"/>
      <c r="R422" s="84"/>
      <c r="S422" s="405"/>
    </row>
    <row r="423" spans="1:19" s="239" customFormat="1" ht="46.5" x14ac:dyDescent="0.25">
      <c r="A423" s="256" t="s">
        <v>130</v>
      </c>
      <c r="B423" s="69" t="s">
        <v>199</v>
      </c>
      <c r="C423" s="69" t="s">
        <v>17</v>
      </c>
      <c r="D423" s="70">
        <f t="shared" ref="D423:I423" si="495">SUM(D424:D428)</f>
        <v>0</v>
      </c>
      <c r="E423" s="70">
        <f t="shared" si="495"/>
        <v>0</v>
      </c>
      <c r="F423" s="70">
        <f t="shared" si="495"/>
        <v>0</v>
      </c>
      <c r="G423" s="70">
        <f>SUM(G424:G428)</f>
        <v>182502.84</v>
      </c>
      <c r="H423" s="70">
        <f t="shared" si="495"/>
        <v>353928.93</v>
      </c>
      <c r="I423" s="70">
        <f t="shared" si="495"/>
        <v>0</v>
      </c>
      <c r="J423" s="56">
        <f>I423/H423</f>
        <v>0</v>
      </c>
      <c r="K423" s="330">
        <f>SUM(K424:K428)</f>
        <v>0</v>
      </c>
      <c r="L423" s="56">
        <f>K423/H423</f>
        <v>0</v>
      </c>
      <c r="M423" s="56" t="e">
        <f>K423/I423</f>
        <v>#DIV/0!</v>
      </c>
      <c r="N423" s="70">
        <f t="shared" ref="N423" si="496">SUM(N424:N428)</f>
        <v>353928.93</v>
      </c>
      <c r="O423" s="70">
        <f>H423-N423</f>
        <v>0</v>
      </c>
      <c r="P423" s="73">
        <f t="shared" si="480"/>
        <v>1</v>
      </c>
      <c r="Q423" s="165"/>
      <c r="R423" s="165"/>
      <c r="S423" s="372" t="s">
        <v>525</v>
      </c>
    </row>
    <row r="424" spans="1:19" s="107" customFormat="1" x14ac:dyDescent="0.25">
      <c r="A424" s="257"/>
      <c r="B424" s="226" t="s">
        <v>10</v>
      </c>
      <c r="C424" s="75"/>
      <c r="D424" s="76"/>
      <c r="E424" s="76"/>
      <c r="F424" s="79"/>
      <c r="G424" s="76"/>
      <c r="H424" s="79"/>
      <c r="I424" s="76"/>
      <c r="J424" s="39" t="e">
        <f t="shared" ref="J424" si="497">I424/H424</f>
        <v>#DIV/0!</v>
      </c>
      <c r="K424" s="37"/>
      <c r="L424" s="39" t="e">
        <f t="shared" ref="L424" si="498">K424/H424</f>
        <v>#DIV/0!</v>
      </c>
      <c r="M424" s="39" t="e">
        <f t="shared" ref="M424" si="499">K424/I424</f>
        <v>#DIV/0!</v>
      </c>
      <c r="N424" s="79"/>
      <c r="O424" s="76">
        <f>H424-N424</f>
        <v>0</v>
      </c>
      <c r="P424" s="39" t="e">
        <f t="shared" si="480"/>
        <v>#DIV/0!</v>
      </c>
      <c r="Q424" s="149"/>
      <c r="R424" s="149"/>
      <c r="S424" s="373"/>
    </row>
    <row r="425" spans="1:19" s="107" customFormat="1" x14ac:dyDescent="0.25">
      <c r="A425" s="257"/>
      <c r="B425" s="226" t="s">
        <v>8</v>
      </c>
      <c r="C425" s="75"/>
      <c r="D425" s="76"/>
      <c r="E425" s="76"/>
      <c r="F425" s="76">
        <f>D425-E425</f>
        <v>0</v>
      </c>
      <c r="G425" s="76">
        <v>162427.53</v>
      </c>
      <c r="H425" s="76">
        <v>333853.62</v>
      </c>
      <c r="I425" s="76"/>
      <c r="J425" s="39">
        <f>I425/H425</f>
        <v>0</v>
      </c>
      <c r="K425" s="37"/>
      <c r="L425" s="39">
        <f>K425/H425</f>
        <v>0</v>
      </c>
      <c r="M425" s="39" t="e">
        <f>K425/I425</f>
        <v>#DIV/0!</v>
      </c>
      <c r="N425" s="76">
        <f>H425</f>
        <v>333853.62</v>
      </c>
      <c r="O425" s="76">
        <f t="shared" ref="O425:O428" si="500">H425-N425</f>
        <v>0</v>
      </c>
      <c r="P425" s="78">
        <f t="shared" si="480"/>
        <v>1</v>
      </c>
      <c r="Q425" s="149"/>
      <c r="R425" s="149"/>
      <c r="S425" s="373"/>
    </row>
    <row r="426" spans="1:19" s="107" customFormat="1" x14ac:dyDescent="0.25">
      <c r="A426" s="257"/>
      <c r="B426" s="226" t="s">
        <v>20</v>
      </c>
      <c r="C426" s="75"/>
      <c r="D426" s="76"/>
      <c r="E426" s="76"/>
      <c r="F426" s="76"/>
      <c r="G426" s="76">
        <v>20075.310000000001</v>
      </c>
      <c r="H426" s="76">
        <v>20075.310000000001</v>
      </c>
      <c r="I426" s="76"/>
      <c r="J426" s="39">
        <f t="shared" ref="J426:J428" si="501">I426/H426</f>
        <v>0</v>
      </c>
      <c r="K426" s="37"/>
      <c r="L426" s="39">
        <f t="shared" ref="L426:L428" si="502">K426/H426</f>
        <v>0</v>
      </c>
      <c r="M426" s="39" t="e">
        <f t="shared" ref="M426:M428" si="503">K426/I426</f>
        <v>#DIV/0!</v>
      </c>
      <c r="N426" s="76">
        <f>H426</f>
        <v>20075.310000000001</v>
      </c>
      <c r="O426" s="76">
        <f t="shared" si="500"/>
        <v>0</v>
      </c>
      <c r="P426" s="78">
        <f t="shared" si="480"/>
        <v>1</v>
      </c>
      <c r="Q426" s="149"/>
      <c r="R426" s="149"/>
      <c r="S426" s="373"/>
    </row>
    <row r="427" spans="1:19" s="107" customFormat="1" x14ac:dyDescent="0.25">
      <c r="A427" s="257"/>
      <c r="B427" s="163" t="s">
        <v>22</v>
      </c>
      <c r="C427" s="80"/>
      <c r="D427" s="81"/>
      <c r="E427" s="81"/>
      <c r="F427" s="82"/>
      <c r="G427" s="81"/>
      <c r="H427" s="81"/>
      <c r="I427" s="81"/>
      <c r="J427" s="39" t="e">
        <f t="shared" si="501"/>
        <v>#DIV/0!</v>
      </c>
      <c r="K427" s="41"/>
      <c r="L427" s="39" t="e">
        <f t="shared" si="502"/>
        <v>#DIV/0!</v>
      </c>
      <c r="M427" s="39" t="e">
        <f t="shared" si="503"/>
        <v>#DIV/0!</v>
      </c>
      <c r="N427" s="82"/>
      <c r="O427" s="76">
        <f t="shared" si="500"/>
        <v>0</v>
      </c>
      <c r="P427" s="39" t="e">
        <f t="shared" si="480"/>
        <v>#DIV/0!</v>
      </c>
      <c r="Q427" s="149"/>
      <c r="R427" s="149"/>
      <c r="S427" s="373"/>
    </row>
    <row r="428" spans="1:19" s="107" customFormat="1" ht="42" customHeight="1" collapsed="1" x14ac:dyDescent="0.25">
      <c r="A428" s="258"/>
      <c r="B428" s="226" t="s">
        <v>11</v>
      </c>
      <c r="C428" s="75"/>
      <c r="D428" s="76"/>
      <c r="E428" s="76"/>
      <c r="F428" s="79"/>
      <c r="G428" s="76"/>
      <c r="H428" s="79"/>
      <c r="I428" s="76"/>
      <c r="J428" s="39" t="e">
        <f t="shared" si="501"/>
        <v>#DIV/0!</v>
      </c>
      <c r="K428" s="37"/>
      <c r="L428" s="39" t="e">
        <f t="shared" si="502"/>
        <v>#DIV/0!</v>
      </c>
      <c r="M428" s="39" t="e">
        <f t="shared" si="503"/>
        <v>#DIV/0!</v>
      </c>
      <c r="N428" s="79"/>
      <c r="O428" s="76">
        <f t="shared" si="500"/>
        <v>0</v>
      </c>
      <c r="P428" s="39" t="e">
        <f t="shared" si="480"/>
        <v>#DIV/0!</v>
      </c>
      <c r="Q428" s="84"/>
      <c r="R428" s="84"/>
      <c r="S428" s="374"/>
    </row>
    <row r="429" spans="1:19" s="239" customFormat="1" ht="57.75" customHeight="1" x14ac:dyDescent="0.25">
      <c r="A429" s="256" t="s">
        <v>131</v>
      </c>
      <c r="B429" s="69" t="s">
        <v>189</v>
      </c>
      <c r="C429" s="69" t="s">
        <v>17</v>
      </c>
      <c r="D429" s="70">
        <f t="shared" ref="D429:I429" si="504">SUM(D430:D434)</f>
        <v>0</v>
      </c>
      <c r="E429" s="70">
        <f t="shared" si="504"/>
        <v>0</v>
      </c>
      <c r="F429" s="70">
        <f t="shared" si="504"/>
        <v>0</v>
      </c>
      <c r="G429" s="70">
        <f t="shared" si="504"/>
        <v>68734.539999999994</v>
      </c>
      <c r="H429" s="70">
        <f t="shared" si="504"/>
        <v>164550.96</v>
      </c>
      <c r="I429" s="70">
        <f t="shared" si="504"/>
        <v>34033.94</v>
      </c>
      <c r="J429" s="73">
        <f>I429/H429</f>
        <v>0.21</v>
      </c>
      <c r="K429" s="70">
        <f>SUM(K430:K434)</f>
        <v>32297.18</v>
      </c>
      <c r="L429" s="73">
        <f>K429/H429</f>
        <v>0.2</v>
      </c>
      <c r="M429" s="73">
        <f>K429/I429</f>
        <v>0.95</v>
      </c>
      <c r="N429" s="70">
        <f>SUM(N430:N434)</f>
        <v>164550.96</v>
      </c>
      <c r="O429" s="70">
        <f>H429-N429</f>
        <v>0</v>
      </c>
      <c r="P429" s="73">
        <f t="shared" si="480"/>
        <v>1</v>
      </c>
      <c r="Q429" s="165"/>
      <c r="R429" s="165"/>
      <c r="S429" s="369" t="s">
        <v>526</v>
      </c>
    </row>
    <row r="430" spans="1:19" s="107" customFormat="1" ht="27" customHeight="1" x14ac:dyDescent="0.25">
      <c r="A430" s="257"/>
      <c r="B430" s="226" t="s">
        <v>10</v>
      </c>
      <c r="C430" s="75"/>
      <c r="D430" s="76"/>
      <c r="E430" s="76"/>
      <c r="F430" s="79"/>
      <c r="G430" s="76"/>
      <c r="H430" s="79"/>
      <c r="I430" s="76"/>
      <c r="J430" s="39" t="e">
        <f t="shared" ref="J430" si="505">I430/H430</f>
        <v>#DIV/0!</v>
      </c>
      <c r="K430" s="37"/>
      <c r="L430" s="39" t="e">
        <f t="shared" ref="L430" si="506">K430/H430</f>
        <v>#DIV/0!</v>
      </c>
      <c r="M430" s="39" t="e">
        <f t="shared" ref="M430" si="507">K430/I430</f>
        <v>#DIV/0!</v>
      </c>
      <c r="N430" s="37"/>
      <c r="O430" s="37">
        <f>H430-N430</f>
        <v>0</v>
      </c>
      <c r="P430" s="39" t="e">
        <f t="shared" si="480"/>
        <v>#DIV/0!</v>
      </c>
      <c r="Q430" s="149"/>
      <c r="R430" s="149"/>
      <c r="S430" s="370"/>
    </row>
    <row r="431" spans="1:19" s="107" customFormat="1" ht="27" customHeight="1" x14ac:dyDescent="0.25">
      <c r="A431" s="257"/>
      <c r="B431" s="226" t="s">
        <v>8</v>
      </c>
      <c r="C431" s="75"/>
      <c r="D431" s="76"/>
      <c r="E431" s="76"/>
      <c r="F431" s="76">
        <f>D431-E431</f>
        <v>0</v>
      </c>
      <c r="G431" s="76">
        <v>56665.82</v>
      </c>
      <c r="H431" s="76">
        <v>152482.23999999999</v>
      </c>
      <c r="I431" s="76">
        <v>28083.58</v>
      </c>
      <c r="J431" s="78">
        <f>I431/H431</f>
        <v>0.18</v>
      </c>
      <c r="K431" s="76">
        <v>26346.82</v>
      </c>
      <c r="L431" s="78">
        <f>K431/H431</f>
        <v>0.17</v>
      </c>
      <c r="M431" s="78">
        <f>K431/I431</f>
        <v>0.94</v>
      </c>
      <c r="N431" s="76">
        <f>H431</f>
        <v>152482.23999999999</v>
      </c>
      <c r="O431" s="76">
        <f t="shared" ref="O431:O434" si="508">H431-N431</f>
        <v>0</v>
      </c>
      <c r="P431" s="78">
        <f t="shared" si="480"/>
        <v>1</v>
      </c>
      <c r="Q431" s="84"/>
      <c r="R431" s="84"/>
      <c r="S431" s="370"/>
    </row>
    <row r="432" spans="1:19" s="107" customFormat="1" ht="27" customHeight="1" x14ac:dyDescent="0.25">
      <c r="A432" s="257"/>
      <c r="B432" s="163" t="s">
        <v>20</v>
      </c>
      <c r="C432" s="80"/>
      <c r="D432" s="81"/>
      <c r="E432" s="81"/>
      <c r="F432" s="81"/>
      <c r="G432" s="81">
        <v>12068.72</v>
      </c>
      <c r="H432" s="81">
        <f>25298.77-13230.05</f>
        <v>12068.72</v>
      </c>
      <c r="I432" s="81">
        <f>K432</f>
        <v>5950.36</v>
      </c>
      <c r="J432" s="84">
        <f t="shared" ref="J432:J434" si="509">I432/H432</f>
        <v>0.49</v>
      </c>
      <c r="K432" s="81">
        <v>5950.36</v>
      </c>
      <c r="L432" s="84">
        <f t="shared" ref="L432:L434" si="510">K432/H432</f>
        <v>0.49</v>
      </c>
      <c r="M432" s="84">
        <f t="shared" ref="M432:M434" si="511">K432/I432</f>
        <v>1</v>
      </c>
      <c r="N432" s="76">
        <f>H432</f>
        <v>12068.72</v>
      </c>
      <c r="O432" s="81">
        <f t="shared" si="508"/>
        <v>0</v>
      </c>
      <c r="P432" s="84">
        <f t="shared" si="480"/>
        <v>1</v>
      </c>
      <c r="Q432" s="84"/>
      <c r="R432" s="84"/>
      <c r="S432" s="370"/>
    </row>
    <row r="433" spans="1:19" s="107" customFormat="1" ht="27" customHeight="1" x14ac:dyDescent="0.25">
      <c r="A433" s="257"/>
      <c r="B433" s="163" t="s">
        <v>22</v>
      </c>
      <c r="C433" s="80"/>
      <c r="D433" s="81"/>
      <c r="E433" s="81"/>
      <c r="F433" s="82"/>
      <c r="G433" s="81"/>
      <c r="H433" s="82"/>
      <c r="I433" s="81"/>
      <c r="J433" s="44" t="e">
        <f t="shared" si="509"/>
        <v>#DIV/0!</v>
      </c>
      <c r="K433" s="41"/>
      <c r="L433" s="44" t="e">
        <f t="shared" si="510"/>
        <v>#DIV/0!</v>
      </c>
      <c r="M433" s="44" t="e">
        <f t="shared" si="511"/>
        <v>#DIV/0!</v>
      </c>
      <c r="N433" s="41"/>
      <c r="O433" s="41">
        <f t="shared" si="508"/>
        <v>0</v>
      </c>
      <c r="P433" s="44" t="e">
        <f t="shared" si="480"/>
        <v>#DIV/0!</v>
      </c>
      <c r="Q433" s="149"/>
      <c r="R433" s="149"/>
      <c r="S433" s="370"/>
    </row>
    <row r="434" spans="1:19" s="107" customFormat="1" ht="27" customHeight="1" collapsed="1" x14ac:dyDescent="0.25">
      <c r="A434" s="258"/>
      <c r="B434" s="163" t="s">
        <v>11</v>
      </c>
      <c r="C434" s="80"/>
      <c r="D434" s="81"/>
      <c r="E434" s="81"/>
      <c r="F434" s="82"/>
      <c r="G434" s="81"/>
      <c r="H434" s="82"/>
      <c r="I434" s="81"/>
      <c r="J434" s="44" t="e">
        <f t="shared" si="509"/>
        <v>#DIV/0!</v>
      </c>
      <c r="K434" s="41"/>
      <c r="L434" s="44" t="e">
        <f t="shared" si="510"/>
        <v>#DIV/0!</v>
      </c>
      <c r="M434" s="44" t="e">
        <f t="shared" si="511"/>
        <v>#DIV/0!</v>
      </c>
      <c r="N434" s="41"/>
      <c r="O434" s="41">
        <f t="shared" si="508"/>
        <v>0</v>
      </c>
      <c r="P434" s="44" t="e">
        <f t="shared" si="480"/>
        <v>#DIV/0!</v>
      </c>
      <c r="Q434" s="84"/>
      <c r="R434" s="84"/>
      <c r="S434" s="371"/>
    </row>
    <row r="435" spans="1:19" s="239" customFormat="1" ht="93" x14ac:dyDescent="0.25">
      <c r="A435" s="256" t="s">
        <v>132</v>
      </c>
      <c r="B435" s="69" t="s">
        <v>190</v>
      </c>
      <c r="C435" s="69"/>
      <c r="D435" s="70">
        <f t="shared" ref="D435:I435" si="512">SUM(D436:D440)</f>
        <v>0</v>
      </c>
      <c r="E435" s="70">
        <f t="shared" si="512"/>
        <v>0</v>
      </c>
      <c r="F435" s="70">
        <f t="shared" si="512"/>
        <v>0</v>
      </c>
      <c r="G435" s="70">
        <f t="shared" si="512"/>
        <v>143570.91</v>
      </c>
      <c r="H435" s="70">
        <f t="shared" si="512"/>
        <v>143570.91</v>
      </c>
      <c r="I435" s="70">
        <f t="shared" si="512"/>
        <v>19361.939999999999</v>
      </c>
      <c r="J435" s="73">
        <f>I435/H435</f>
        <v>0.13</v>
      </c>
      <c r="K435" s="70">
        <f>SUM(K436:K440)</f>
        <v>19361.939999999999</v>
      </c>
      <c r="L435" s="73">
        <f>K435/H435</f>
        <v>0.13</v>
      </c>
      <c r="M435" s="73">
        <f>K435/I435</f>
        <v>1</v>
      </c>
      <c r="N435" s="70">
        <f>SUM(N436:N440)</f>
        <v>143570.91</v>
      </c>
      <c r="O435" s="70">
        <f>H435-N435</f>
        <v>0</v>
      </c>
      <c r="P435" s="73">
        <f t="shared" si="480"/>
        <v>1</v>
      </c>
      <c r="Q435" s="165"/>
      <c r="R435" s="165"/>
      <c r="S435" s="372"/>
    </row>
    <row r="436" spans="1:19" s="107" customFormat="1" ht="30.75" customHeight="1" x14ac:dyDescent="0.25">
      <c r="A436" s="257"/>
      <c r="B436" s="226" t="s">
        <v>10</v>
      </c>
      <c r="C436" s="75"/>
      <c r="D436" s="76"/>
      <c r="E436" s="76"/>
      <c r="F436" s="79"/>
      <c r="G436" s="76">
        <f>G442</f>
        <v>0</v>
      </c>
      <c r="H436" s="76">
        <f t="shared" ref="H436:I436" si="513">H442</f>
        <v>0</v>
      </c>
      <c r="I436" s="76">
        <f t="shared" si="513"/>
        <v>0</v>
      </c>
      <c r="J436" s="39" t="e">
        <f t="shared" ref="J436" si="514">I436/H436</f>
        <v>#DIV/0!</v>
      </c>
      <c r="K436" s="37">
        <f t="shared" ref="K436" si="515">K442</f>
        <v>0</v>
      </c>
      <c r="L436" s="39" t="e">
        <f t="shared" ref="L436" si="516">K436/H436</f>
        <v>#DIV/0!</v>
      </c>
      <c r="M436" s="39" t="e">
        <f t="shared" ref="M436" si="517">K436/I436</f>
        <v>#DIV/0!</v>
      </c>
      <c r="N436" s="37">
        <f t="shared" ref="N436" si="518">N442</f>
        <v>0</v>
      </c>
      <c r="O436" s="37">
        <f>H436-N436</f>
        <v>0</v>
      </c>
      <c r="P436" s="39" t="e">
        <f t="shared" si="480"/>
        <v>#DIV/0!</v>
      </c>
      <c r="Q436" s="149"/>
      <c r="R436" s="149"/>
      <c r="S436" s="373"/>
    </row>
    <row r="437" spans="1:19" s="107" customFormat="1" ht="30.75" customHeight="1" x14ac:dyDescent="0.25">
      <c r="A437" s="257"/>
      <c r="B437" s="226" t="s">
        <v>8</v>
      </c>
      <c r="C437" s="75"/>
      <c r="D437" s="76"/>
      <c r="E437" s="76"/>
      <c r="F437" s="76">
        <f>D437-E437</f>
        <v>0</v>
      </c>
      <c r="G437" s="76">
        <f>G443</f>
        <v>113452</v>
      </c>
      <c r="H437" s="76">
        <f t="shared" ref="H437:I437" si="519">H443</f>
        <v>113452</v>
      </c>
      <c r="I437" s="76">
        <f t="shared" si="519"/>
        <v>13199.52</v>
      </c>
      <c r="J437" s="184">
        <f>I437/H437</f>
        <v>0.11600000000000001</v>
      </c>
      <c r="K437" s="76">
        <f t="shared" ref="K437" si="520">K443</f>
        <v>13199.52</v>
      </c>
      <c r="L437" s="184">
        <f>K437/H437</f>
        <v>0.11600000000000001</v>
      </c>
      <c r="M437" s="78">
        <f>K437/I437</f>
        <v>1</v>
      </c>
      <c r="N437" s="76">
        <f t="shared" ref="N437" si="521">N443</f>
        <v>113452</v>
      </c>
      <c r="O437" s="76">
        <f t="shared" ref="O437:O440" si="522">H437-N437</f>
        <v>0</v>
      </c>
      <c r="P437" s="78">
        <f t="shared" si="480"/>
        <v>1</v>
      </c>
      <c r="Q437" s="149"/>
      <c r="R437" s="149"/>
      <c r="S437" s="373"/>
    </row>
    <row r="438" spans="1:19" s="107" customFormat="1" ht="30.75" customHeight="1" x14ac:dyDescent="0.25">
      <c r="A438" s="257"/>
      <c r="B438" s="226" t="s">
        <v>20</v>
      </c>
      <c r="C438" s="75"/>
      <c r="D438" s="76"/>
      <c r="E438" s="76"/>
      <c r="F438" s="76"/>
      <c r="G438" s="76">
        <f t="shared" ref="G438:I438" si="523">G444</f>
        <v>28363</v>
      </c>
      <c r="H438" s="76">
        <f t="shared" si="523"/>
        <v>28363</v>
      </c>
      <c r="I438" s="76">
        <f t="shared" si="523"/>
        <v>6162.42</v>
      </c>
      <c r="J438" s="78">
        <f t="shared" ref="J438:J440" si="524">I438/H438</f>
        <v>0.22</v>
      </c>
      <c r="K438" s="76">
        <f t="shared" ref="K438" si="525">K444</f>
        <v>6162.42</v>
      </c>
      <c r="L438" s="78">
        <f t="shared" ref="L438:L440" si="526">K438/H438</f>
        <v>0.22</v>
      </c>
      <c r="M438" s="78">
        <f t="shared" ref="M438:M440" si="527">K438/I438</f>
        <v>1</v>
      </c>
      <c r="N438" s="76">
        <f t="shared" ref="N438" si="528">N444</f>
        <v>28363</v>
      </c>
      <c r="O438" s="76">
        <f t="shared" si="522"/>
        <v>0</v>
      </c>
      <c r="P438" s="78">
        <f t="shared" si="480"/>
        <v>1</v>
      </c>
      <c r="Q438" s="149"/>
      <c r="R438" s="149"/>
      <c r="S438" s="373"/>
    </row>
    <row r="439" spans="1:19" s="107" customFormat="1" ht="30.75" customHeight="1" x14ac:dyDescent="0.25">
      <c r="A439" s="257"/>
      <c r="B439" s="163" t="s">
        <v>22</v>
      </c>
      <c r="C439" s="80"/>
      <c r="D439" s="81"/>
      <c r="E439" s="81"/>
      <c r="F439" s="82"/>
      <c r="G439" s="76">
        <f t="shared" ref="G439:I439" si="529">G445</f>
        <v>1755.91</v>
      </c>
      <c r="H439" s="76">
        <f t="shared" si="529"/>
        <v>1755.91</v>
      </c>
      <c r="I439" s="76">
        <f t="shared" si="529"/>
        <v>0</v>
      </c>
      <c r="J439" s="78">
        <f t="shared" si="524"/>
        <v>0</v>
      </c>
      <c r="K439" s="76">
        <f t="shared" ref="K439" si="530">K445</f>
        <v>0</v>
      </c>
      <c r="L439" s="78">
        <f t="shared" si="526"/>
        <v>0</v>
      </c>
      <c r="M439" s="39" t="e">
        <f t="shared" si="527"/>
        <v>#DIV/0!</v>
      </c>
      <c r="N439" s="76">
        <f t="shared" ref="N439" si="531">N445</f>
        <v>1755.91</v>
      </c>
      <c r="O439" s="76">
        <f t="shared" si="522"/>
        <v>0</v>
      </c>
      <c r="P439" s="78">
        <f t="shared" si="480"/>
        <v>1</v>
      </c>
      <c r="Q439" s="149"/>
      <c r="R439" s="149"/>
      <c r="S439" s="373"/>
    </row>
    <row r="440" spans="1:19" s="107" customFormat="1" ht="30.75" customHeight="1" collapsed="1" x14ac:dyDescent="0.25">
      <c r="A440" s="258"/>
      <c r="B440" s="226" t="s">
        <v>11</v>
      </c>
      <c r="C440" s="75"/>
      <c r="D440" s="76"/>
      <c r="E440" s="76"/>
      <c r="F440" s="79"/>
      <c r="G440" s="76">
        <f t="shared" ref="G440:I440" si="532">G446</f>
        <v>0</v>
      </c>
      <c r="H440" s="76">
        <f t="shared" si="532"/>
        <v>0</v>
      </c>
      <c r="I440" s="76">
        <f t="shared" si="532"/>
        <v>0</v>
      </c>
      <c r="J440" s="39" t="e">
        <f t="shared" si="524"/>
        <v>#DIV/0!</v>
      </c>
      <c r="K440" s="37">
        <f t="shared" ref="K440" si="533">K446</f>
        <v>0</v>
      </c>
      <c r="L440" s="39" t="e">
        <f t="shared" si="526"/>
        <v>#DIV/0!</v>
      </c>
      <c r="M440" s="39" t="e">
        <f t="shared" si="527"/>
        <v>#DIV/0!</v>
      </c>
      <c r="N440" s="37">
        <f t="shared" ref="N440" si="534">N446</f>
        <v>0</v>
      </c>
      <c r="O440" s="37">
        <f t="shared" si="522"/>
        <v>0</v>
      </c>
      <c r="P440" s="39" t="e">
        <f t="shared" si="480"/>
        <v>#DIV/0!</v>
      </c>
      <c r="Q440" s="84"/>
      <c r="R440" s="84"/>
      <c r="S440" s="374"/>
    </row>
    <row r="441" spans="1:19" s="245" customFormat="1" ht="61.5" customHeight="1" x14ac:dyDescent="0.25">
      <c r="A441" s="256" t="s">
        <v>307</v>
      </c>
      <c r="B441" s="69" t="s">
        <v>248</v>
      </c>
      <c r="C441" s="69" t="s">
        <v>17</v>
      </c>
      <c r="D441" s="70">
        <f t="shared" ref="D441:I441" si="535">SUM(D442:D446)</f>
        <v>0</v>
      </c>
      <c r="E441" s="70">
        <f t="shared" si="535"/>
        <v>0</v>
      </c>
      <c r="F441" s="70">
        <f t="shared" si="535"/>
        <v>0</v>
      </c>
      <c r="G441" s="70">
        <f t="shared" si="535"/>
        <v>143570.91</v>
      </c>
      <c r="H441" s="70">
        <f t="shared" si="535"/>
        <v>143570.91</v>
      </c>
      <c r="I441" s="70">
        <f t="shared" si="535"/>
        <v>19361.939999999999</v>
      </c>
      <c r="J441" s="73">
        <f>I441/H441</f>
        <v>0.13</v>
      </c>
      <c r="K441" s="70">
        <f>SUM(K442:K446)</f>
        <v>19361.939999999999</v>
      </c>
      <c r="L441" s="73">
        <f>K441/H441</f>
        <v>0.13</v>
      </c>
      <c r="M441" s="73">
        <f>K441/I441</f>
        <v>1</v>
      </c>
      <c r="N441" s="70">
        <f>SUM(N442:N446)</f>
        <v>143570.91</v>
      </c>
      <c r="O441" s="70">
        <f>H441-N441</f>
        <v>0</v>
      </c>
      <c r="P441" s="73">
        <f t="shared" si="480"/>
        <v>1</v>
      </c>
      <c r="Q441" s="165"/>
      <c r="R441" s="165"/>
      <c r="S441" s="372" t="s">
        <v>527</v>
      </c>
    </row>
    <row r="442" spans="1:19" s="107" customFormat="1" ht="42" customHeight="1" x14ac:dyDescent="0.25">
      <c r="A442" s="257"/>
      <c r="B442" s="226" t="s">
        <v>10</v>
      </c>
      <c r="C442" s="75"/>
      <c r="D442" s="76"/>
      <c r="E442" s="76"/>
      <c r="F442" s="79"/>
      <c r="G442" s="76"/>
      <c r="H442" s="79"/>
      <c r="I442" s="76"/>
      <c r="J442" s="39" t="e">
        <f t="shared" ref="J442" si="536">I442/H442</f>
        <v>#DIV/0!</v>
      </c>
      <c r="K442" s="37"/>
      <c r="L442" s="39" t="e">
        <f t="shared" ref="L442" si="537">K442/H442</f>
        <v>#DIV/0!</v>
      </c>
      <c r="M442" s="39" t="e">
        <f t="shared" ref="M442" si="538">K442/I442</f>
        <v>#DIV/0!</v>
      </c>
      <c r="N442" s="37"/>
      <c r="O442" s="37">
        <f>H442-N442</f>
        <v>0</v>
      </c>
      <c r="P442" s="39" t="e">
        <f t="shared" si="480"/>
        <v>#DIV/0!</v>
      </c>
      <c r="Q442" s="149"/>
      <c r="R442" s="149"/>
      <c r="S442" s="373"/>
    </row>
    <row r="443" spans="1:19" s="107" customFormat="1" ht="42" customHeight="1" x14ac:dyDescent="0.25">
      <c r="A443" s="257"/>
      <c r="B443" s="226" t="s">
        <v>8</v>
      </c>
      <c r="C443" s="75"/>
      <c r="D443" s="76"/>
      <c r="E443" s="76"/>
      <c r="F443" s="76">
        <f>D443-E443</f>
        <v>0</v>
      </c>
      <c r="G443" s="76">
        <v>113452</v>
      </c>
      <c r="H443" s="76">
        <v>113452</v>
      </c>
      <c r="I443" s="76">
        <v>13199.52</v>
      </c>
      <c r="J443" s="184">
        <f>I443/H443</f>
        <v>0.11600000000000001</v>
      </c>
      <c r="K443" s="76">
        <f>I443</f>
        <v>13199.52</v>
      </c>
      <c r="L443" s="184">
        <f>K443/H443</f>
        <v>0.11600000000000001</v>
      </c>
      <c r="M443" s="78">
        <f>K443/I443</f>
        <v>1</v>
      </c>
      <c r="N443" s="76">
        <f>H443</f>
        <v>113452</v>
      </c>
      <c r="O443" s="76">
        <f t="shared" ref="O443:O446" si="539">H443-N443</f>
        <v>0</v>
      </c>
      <c r="P443" s="78">
        <f t="shared" si="480"/>
        <v>1</v>
      </c>
      <c r="Q443" s="149"/>
      <c r="R443" s="149"/>
      <c r="S443" s="373"/>
    </row>
    <row r="444" spans="1:19" s="107" customFormat="1" ht="42" customHeight="1" x14ac:dyDescent="0.25">
      <c r="A444" s="257"/>
      <c r="B444" s="226" t="s">
        <v>20</v>
      </c>
      <c r="C444" s="75"/>
      <c r="D444" s="76"/>
      <c r="E444" s="76"/>
      <c r="F444" s="76"/>
      <c r="G444" s="76">
        <v>28363</v>
      </c>
      <c r="H444" s="76">
        <v>28363</v>
      </c>
      <c r="I444" s="76">
        <f>K444</f>
        <v>6162.42</v>
      </c>
      <c r="J444" s="78">
        <f t="shared" ref="J444:J446" si="540">I444/H444</f>
        <v>0.22</v>
      </c>
      <c r="K444" s="76">
        <v>6162.42</v>
      </c>
      <c r="L444" s="78">
        <f t="shared" ref="L444:L446" si="541">K444/H444</f>
        <v>0.22</v>
      </c>
      <c r="M444" s="78">
        <f t="shared" ref="M444:M446" si="542">K444/I444</f>
        <v>1</v>
      </c>
      <c r="N444" s="76">
        <f t="shared" ref="N444:N445" si="543">H444</f>
        <v>28363</v>
      </c>
      <c r="O444" s="76">
        <f t="shared" si="539"/>
        <v>0</v>
      </c>
      <c r="P444" s="78">
        <f t="shared" si="480"/>
        <v>1</v>
      </c>
      <c r="Q444" s="149"/>
      <c r="R444" s="149"/>
      <c r="S444" s="373"/>
    </row>
    <row r="445" spans="1:19" s="107" customFormat="1" ht="60.75" customHeight="1" x14ac:dyDescent="0.25">
      <c r="A445" s="257"/>
      <c r="B445" s="163" t="s">
        <v>22</v>
      </c>
      <c r="C445" s="80"/>
      <c r="D445" s="81"/>
      <c r="E445" s="81"/>
      <c r="F445" s="82"/>
      <c r="G445" s="81">
        <v>1755.91</v>
      </c>
      <c r="H445" s="81">
        <v>1755.91</v>
      </c>
      <c r="I445" s="81"/>
      <c r="J445" s="39">
        <f t="shared" si="540"/>
        <v>0</v>
      </c>
      <c r="K445" s="41"/>
      <c r="L445" s="39">
        <f t="shared" si="541"/>
        <v>0</v>
      </c>
      <c r="M445" s="39" t="e">
        <f t="shared" si="542"/>
        <v>#DIV/0!</v>
      </c>
      <c r="N445" s="76">
        <f t="shared" si="543"/>
        <v>1755.91</v>
      </c>
      <c r="O445" s="76">
        <f t="shared" si="539"/>
        <v>0</v>
      </c>
      <c r="P445" s="78">
        <f t="shared" si="480"/>
        <v>1</v>
      </c>
      <c r="Q445" s="149"/>
      <c r="R445" s="149"/>
      <c r="S445" s="373"/>
    </row>
    <row r="446" spans="1:19" s="107" customFormat="1" ht="143.25" customHeight="1" collapsed="1" x14ac:dyDescent="0.25">
      <c r="A446" s="258"/>
      <c r="B446" s="226" t="s">
        <v>11</v>
      </c>
      <c r="C446" s="75"/>
      <c r="D446" s="76"/>
      <c r="E446" s="76"/>
      <c r="F446" s="79"/>
      <c r="G446" s="76"/>
      <c r="H446" s="79"/>
      <c r="I446" s="76"/>
      <c r="J446" s="39" t="e">
        <f t="shared" si="540"/>
        <v>#DIV/0!</v>
      </c>
      <c r="K446" s="37"/>
      <c r="L446" s="39" t="e">
        <f t="shared" si="541"/>
        <v>#DIV/0!</v>
      </c>
      <c r="M446" s="39" t="e">
        <f t="shared" si="542"/>
        <v>#DIV/0!</v>
      </c>
      <c r="N446" s="76"/>
      <c r="O446" s="76">
        <f t="shared" si="539"/>
        <v>0</v>
      </c>
      <c r="P446" s="39" t="e">
        <f t="shared" si="480"/>
        <v>#DIV/0!</v>
      </c>
      <c r="Q446" s="84"/>
      <c r="R446" s="84"/>
      <c r="S446" s="374"/>
    </row>
    <row r="447" spans="1:19" s="107" customFormat="1" ht="278.25" customHeight="1" x14ac:dyDescent="0.25">
      <c r="A447" s="257" t="s">
        <v>378</v>
      </c>
      <c r="B447" s="227" t="s">
        <v>379</v>
      </c>
      <c r="C447" s="69" t="s">
        <v>17</v>
      </c>
      <c r="D447" s="76"/>
      <c r="E447" s="76"/>
      <c r="F447" s="79"/>
      <c r="G447" s="70">
        <f>SUM(G448:G452)</f>
        <v>923935.22</v>
      </c>
      <c r="H447" s="70">
        <f>SUM(H448:H452)</f>
        <v>923935.22</v>
      </c>
      <c r="I447" s="70">
        <f>SUM(I448:I452)</f>
        <v>923934.51</v>
      </c>
      <c r="J447" s="73">
        <f t="shared" ref="J447:J453" si="544">I447/H447</f>
        <v>1</v>
      </c>
      <c r="K447" s="70">
        <f>SUM(K448:K452)</f>
        <v>923934.51</v>
      </c>
      <c r="L447" s="73">
        <f t="shared" ref="L447:L453" si="545">K447/H447</f>
        <v>1</v>
      </c>
      <c r="M447" s="73">
        <f t="shared" ref="M447:M453" si="546">K447/I447</f>
        <v>1</v>
      </c>
      <c r="N447" s="70">
        <f>SUM(N448:N452)</f>
        <v>923935.22</v>
      </c>
      <c r="O447" s="70">
        <f t="shared" ref="O447:O454" si="547">H447-N447</f>
        <v>0</v>
      </c>
      <c r="P447" s="73">
        <f t="shared" ref="P447:P452" si="548">N447/H447</f>
        <v>1</v>
      </c>
      <c r="Q447" s="149"/>
      <c r="R447" s="149"/>
      <c r="S447" s="90" t="s">
        <v>528</v>
      </c>
    </row>
    <row r="448" spans="1:19" s="107" customFormat="1" ht="43.5" customHeight="1" x14ac:dyDescent="0.25">
      <c r="A448" s="257"/>
      <c r="B448" s="226" t="s">
        <v>10</v>
      </c>
      <c r="C448" s="75"/>
      <c r="D448" s="76"/>
      <c r="E448" s="76"/>
      <c r="F448" s="79"/>
      <c r="G448" s="76"/>
      <c r="H448" s="76"/>
      <c r="I448" s="76"/>
      <c r="J448" s="39" t="e">
        <f t="shared" si="544"/>
        <v>#DIV/0!</v>
      </c>
      <c r="K448" s="37"/>
      <c r="L448" s="39" t="e">
        <f t="shared" si="545"/>
        <v>#DIV/0!</v>
      </c>
      <c r="M448" s="39" t="e">
        <f t="shared" si="546"/>
        <v>#DIV/0!</v>
      </c>
      <c r="N448" s="37"/>
      <c r="O448" s="37">
        <f t="shared" si="547"/>
        <v>0</v>
      </c>
      <c r="P448" s="39" t="e">
        <f t="shared" si="548"/>
        <v>#DIV/0!</v>
      </c>
      <c r="Q448" s="149"/>
      <c r="R448" s="149"/>
      <c r="S448" s="90"/>
    </row>
    <row r="449" spans="1:19" s="107" customFormat="1" ht="43.5" customHeight="1" x14ac:dyDescent="0.25">
      <c r="A449" s="257"/>
      <c r="B449" s="226" t="s">
        <v>8</v>
      </c>
      <c r="C449" s="75"/>
      <c r="D449" s="76"/>
      <c r="E449" s="76"/>
      <c r="F449" s="79"/>
      <c r="G449" s="76">
        <v>830000</v>
      </c>
      <c r="H449" s="76">
        <v>830000</v>
      </c>
      <c r="I449" s="76">
        <f>K449</f>
        <v>830000</v>
      </c>
      <c r="J449" s="78">
        <f t="shared" si="544"/>
        <v>1</v>
      </c>
      <c r="K449" s="76">
        <v>830000</v>
      </c>
      <c r="L449" s="78">
        <f t="shared" si="545"/>
        <v>1</v>
      </c>
      <c r="M449" s="78">
        <f t="shared" si="546"/>
        <v>1</v>
      </c>
      <c r="N449" s="76">
        <f>H449</f>
        <v>830000</v>
      </c>
      <c r="O449" s="76">
        <f t="shared" si="547"/>
        <v>0</v>
      </c>
      <c r="P449" s="78">
        <f t="shared" si="548"/>
        <v>1</v>
      </c>
      <c r="Q449" s="149"/>
      <c r="R449" s="149"/>
      <c r="S449" s="90"/>
    </row>
    <row r="450" spans="1:19" s="107" customFormat="1" ht="43.5" customHeight="1" x14ac:dyDescent="0.25">
      <c r="A450" s="257"/>
      <c r="B450" s="226" t="s">
        <v>20</v>
      </c>
      <c r="C450" s="75"/>
      <c r="D450" s="76"/>
      <c r="E450" s="76"/>
      <c r="F450" s="79"/>
      <c r="G450" s="76">
        <v>93935.22</v>
      </c>
      <c r="H450" s="76">
        <v>93935.22</v>
      </c>
      <c r="I450" s="76">
        <f>K450</f>
        <v>93934.51</v>
      </c>
      <c r="J450" s="78">
        <f t="shared" si="544"/>
        <v>1</v>
      </c>
      <c r="K450" s="76">
        <v>93934.51</v>
      </c>
      <c r="L450" s="78">
        <f t="shared" si="545"/>
        <v>1</v>
      </c>
      <c r="M450" s="78">
        <f t="shared" si="546"/>
        <v>1</v>
      </c>
      <c r="N450" s="76">
        <f>H450</f>
        <v>93935.22</v>
      </c>
      <c r="O450" s="76">
        <f t="shared" si="547"/>
        <v>0</v>
      </c>
      <c r="P450" s="78">
        <f t="shared" si="548"/>
        <v>1</v>
      </c>
      <c r="Q450" s="149"/>
      <c r="R450" s="149"/>
      <c r="S450" s="90"/>
    </row>
    <row r="451" spans="1:19" s="107" customFormat="1" ht="43.5" customHeight="1" x14ac:dyDescent="0.25">
      <c r="A451" s="257"/>
      <c r="B451" s="163" t="s">
        <v>22</v>
      </c>
      <c r="C451" s="75"/>
      <c r="D451" s="76"/>
      <c r="E451" s="76"/>
      <c r="F451" s="79"/>
      <c r="G451" s="76"/>
      <c r="H451" s="76"/>
      <c r="I451" s="76"/>
      <c r="J451" s="39" t="e">
        <f t="shared" si="544"/>
        <v>#DIV/0!</v>
      </c>
      <c r="K451" s="37"/>
      <c r="L451" s="39" t="e">
        <f t="shared" si="545"/>
        <v>#DIV/0!</v>
      </c>
      <c r="M451" s="39" t="e">
        <f t="shared" si="546"/>
        <v>#DIV/0!</v>
      </c>
      <c r="N451" s="37">
        <f>H451</f>
        <v>0</v>
      </c>
      <c r="O451" s="37">
        <f t="shared" si="547"/>
        <v>0</v>
      </c>
      <c r="P451" s="39" t="e">
        <f t="shared" si="548"/>
        <v>#DIV/0!</v>
      </c>
      <c r="Q451" s="149"/>
      <c r="R451" s="149"/>
      <c r="S451" s="90"/>
    </row>
    <row r="452" spans="1:19" s="107" customFormat="1" ht="43.5" customHeight="1" x14ac:dyDescent="0.25">
      <c r="A452" s="257"/>
      <c r="B452" s="226" t="s">
        <v>11</v>
      </c>
      <c r="C452" s="75"/>
      <c r="D452" s="76"/>
      <c r="E452" s="76"/>
      <c r="F452" s="79"/>
      <c r="G452" s="76"/>
      <c r="H452" s="76"/>
      <c r="I452" s="76"/>
      <c r="J452" s="39" t="e">
        <f t="shared" si="544"/>
        <v>#DIV/0!</v>
      </c>
      <c r="K452" s="37"/>
      <c r="L452" s="39" t="e">
        <f t="shared" si="545"/>
        <v>#DIV/0!</v>
      </c>
      <c r="M452" s="39" t="e">
        <f t="shared" si="546"/>
        <v>#DIV/0!</v>
      </c>
      <c r="N452" s="37"/>
      <c r="O452" s="37">
        <f t="shared" si="547"/>
        <v>0</v>
      </c>
      <c r="P452" s="39" t="e">
        <f t="shared" si="548"/>
        <v>#DIV/0!</v>
      </c>
      <c r="Q452" s="149"/>
      <c r="R452" s="149"/>
      <c r="S452" s="90"/>
    </row>
    <row r="453" spans="1:19" s="239" customFormat="1" ht="103.5" customHeight="1" x14ac:dyDescent="0.25">
      <c r="A453" s="253" t="s">
        <v>133</v>
      </c>
      <c r="B453" s="154" t="s">
        <v>249</v>
      </c>
      <c r="C453" s="154" t="s">
        <v>2</v>
      </c>
      <c r="D453" s="155">
        <f t="shared" ref="D453:I453" si="549">SUM(D454:D458)</f>
        <v>0</v>
      </c>
      <c r="E453" s="155">
        <f t="shared" si="549"/>
        <v>0</v>
      </c>
      <c r="F453" s="155">
        <f t="shared" si="549"/>
        <v>0</v>
      </c>
      <c r="G453" s="155">
        <f t="shared" si="549"/>
        <v>24354.82</v>
      </c>
      <c r="H453" s="155">
        <f t="shared" si="549"/>
        <v>25102.98</v>
      </c>
      <c r="I453" s="155">
        <f t="shared" si="549"/>
        <v>15642.31</v>
      </c>
      <c r="J453" s="222">
        <f t="shared" si="544"/>
        <v>0.623</v>
      </c>
      <c r="K453" s="155">
        <f>SUM(K454:K458)</f>
        <v>3811.02</v>
      </c>
      <c r="L453" s="222">
        <f t="shared" si="545"/>
        <v>0.152</v>
      </c>
      <c r="M453" s="182">
        <f t="shared" si="546"/>
        <v>0.24</v>
      </c>
      <c r="N453" s="155">
        <f t="shared" ref="N453" si="550">SUM(N454:N458)</f>
        <v>25102.98</v>
      </c>
      <c r="O453" s="232">
        <f t="shared" si="547"/>
        <v>0</v>
      </c>
      <c r="P453" s="182">
        <f t="shared" si="480"/>
        <v>1</v>
      </c>
      <c r="Q453" s="173"/>
      <c r="R453" s="173"/>
      <c r="S453" s="372"/>
    </row>
    <row r="454" spans="1:19" s="107" customFormat="1" ht="36" customHeight="1" x14ac:dyDescent="0.25">
      <c r="A454" s="254"/>
      <c r="B454" s="226" t="s">
        <v>10</v>
      </c>
      <c r="C454" s="75"/>
      <c r="D454" s="76"/>
      <c r="E454" s="76"/>
      <c r="F454" s="76"/>
      <c r="G454" s="76">
        <f>G478+G460+G466+G472+G484</f>
        <v>14306.5</v>
      </c>
      <c r="H454" s="76">
        <f t="shared" ref="H454:I454" si="551">H478+H460+H466+H472+H484</f>
        <v>17057.03</v>
      </c>
      <c r="I454" s="76">
        <f t="shared" si="551"/>
        <v>13734.06</v>
      </c>
      <c r="J454" s="78">
        <f t="shared" ref="J454" si="552">I454/H454</f>
        <v>0.81</v>
      </c>
      <c r="K454" s="76">
        <f t="shared" ref="K454" si="553">K478+K460+K466+K472+K484</f>
        <v>3038.69</v>
      </c>
      <c r="L454" s="78">
        <f t="shared" ref="L454" si="554">K454/H454</f>
        <v>0.18</v>
      </c>
      <c r="M454" s="78">
        <f t="shared" ref="M454" si="555">K454/I454</f>
        <v>0.22</v>
      </c>
      <c r="N454" s="76">
        <f t="shared" ref="N454" si="556">N478+N460+N466+N472+N484</f>
        <v>17057.03</v>
      </c>
      <c r="O454" s="76">
        <f t="shared" si="547"/>
        <v>0</v>
      </c>
      <c r="P454" s="78">
        <f t="shared" si="480"/>
        <v>1</v>
      </c>
      <c r="Q454" s="149"/>
      <c r="R454" s="149"/>
      <c r="S454" s="373"/>
    </row>
    <row r="455" spans="1:19" s="107" customFormat="1" ht="36" customHeight="1" x14ac:dyDescent="0.25">
      <c r="A455" s="254"/>
      <c r="B455" s="226" t="s">
        <v>8</v>
      </c>
      <c r="C455" s="75"/>
      <c r="D455" s="76"/>
      <c r="E455" s="76"/>
      <c r="F455" s="76">
        <f>D455-E455</f>
        <v>0</v>
      </c>
      <c r="G455" s="76">
        <f t="shared" ref="G455:I455" si="557">G479+G461+G467+G473+G485</f>
        <v>9594.82</v>
      </c>
      <c r="H455" s="76">
        <f t="shared" si="557"/>
        <v>7592.45</v>
      </c>
      <c r="I455" s="76">
        <f t="shared" si="557"/>
        <v>1908.25</v>
      </c>
      <c r="J455" s="78">
        <f>I455/H455</f>
        <v>0.25</v>
      </c>
      <c r="K455" s="76">
        <f t="shared" ref="K455" si="558">K479+K461+K467+K473+K485</f>
        <v>772.33</v>
      </c>
      <c r="L455" s="78">
        <f>K455/H455</f>
        <v>0.1</v>
      </c>
      <c r="M455" s="78">
        <f>K455/I455</f>
        <v>0.4</v>
      </c>
      <c r="N455" s="76">
        <f t="shared" ref="N455" si="559">N479+N461+N467+N473+N485</f>
        <v>7592.45</v>
      </c>
      <c r="O455" s="76">
        <f t="shared" ref="O455:O458" si="560">H455-N455</f>
        <v>0</v>
      </c>
      <c r="P455" s="78">
        <f t="shared" si="480"/>
        <v>1</v>
      </c>
      <c r="Q455" s="149"/>
      <c r="R455" s="149"/>
      <c r="S455" s="373"/>
    </row>
    <row r="456" spans="1:19" s="107" customFormat="1" ht="36" customHeight="1" x14ac:dyDescent="0.25">
      <c r="A456" s="254"/>
      <c r="B456" s="226" t="s">
        <v>20</v>
      </c>
      <c r="C456" s="75"/>
      <c r="D456" s="76"/>
      <c r="E456" s="76"/>
      <c r="F456" s="76"/>
      <c r="G456" s="76">
        <f t="shared" ref="G456:I456" si="561">G480+G462+G468+G474+G486</f>
        <v>453.5</v>
      </c>
      <c r="H456" s="76">
        <f t="shared" si="561"/>
        <v>453.5</v>
      </c>
      <c r="I456" s="76">
        <f t="shared" si="561"/>
        <v>0</v>
      </c>
      <c r="J456" s="39">
        <f t="shared" ref="J456:J458" si="562">I456/H456</f>
        <v>0</v>
      </c>
      <c r="K456" s="37">
        <f t="shared" ref="K456" si="563">K480+K462+K468+K474+K486</f>
        <v>0</v>
      </c>
      <c r="L456" s="39">
        <f t="shared" ref="L456:L458" si="564">K456/H456</f>
        <v>0</v>
      </c>
      <c r="M456" s="39" t="e">
        <f t="shared" ref="M456:M458" si="565">K456/I456</f>
        <v>#DIV/0!</v>
      </c>
      <c r="N456" s="76">
        <f t="shared" ref="N456" si="566">N480+N462+N468+N474+N486</f>
        <v>453.5</v>
      </c>
      <c r="O456" s="76">
        <f t="shared" si="560"/>
        <v>0</v>
      </c>
      <c r="P456" s="78">
        <f t="shared" si="480"/>
        <v>1</v>
      </c>
      <c r="Q456" s="149"/>
      <c r="R456" s="149"/>
      <c r="S456" s="373"/>
    </row>
    <row r="457" spans="1:19" s="107" customFormat="1" ht="36" customHeight="1" x14ac:dyDescent="0.25">
      <c r="A457" s="254"/>
      <c r="B457" s="163" t="s">
        <v>22</v>
      </c>
      <c r="C457" s="80"/>
      <c r="D457" s="81"/>
      <c r="E457" s="81"/>
      <c r="F457" s="81"/>
      <c r="G457" s="76">
        <f t="shared" ref="G457:I457" si="567">G481+G463+G469+G475+G487</f>
        <v>0</v>
      </c>
      <c r="H457" s="76">
        <f t="shared" si="567"/>
        <v>0</v>
      </c>
      <c r="I457" s="76">
        <f t="shared" si="567"/>
        <v>0</v>
      </c>
      <c r="J457" s="39" t="e">
        <f t="shared" si="562"/>
        <v>#DIV/0!</v>
      </c>
      <c r="K457" s="37">
        <f t="shared" ref="K457" si="568">K481+K463+K469+K475+K487</f>
        <v>0</v>
      </c>
      <c r="L457" s="39" t="e">
        <f t="shared" si="564"/>
        <v>#DIV/0!</v>
      </c>
      <c r="M457" s="39" t="e">
        <f t="shared" si="565"/>
        <v>#DIV/0!</v>
      </c>
      <c r="N457" s="76">
        <f t="shared" ref="N457" si="569">N481+N463+N469+N475+N487</f>
        <v>0</v>
      </c>
      <c r="O457" s="76">
        <f t="shared" si="560"/>
        <v>0</v>
      </c>
      <c r="P457" s="78"/>
      <c r="Q457" s="149"/>
      <c r="R457" s="149"/>
      <c r="S457" s="373"/>
    </row>
    <row r="458" spans="1:19" s="107" customFormat="1" ht="36" customHeight="1" collapsed="1" x14ac:dyDescent="0.25">
      <c r="A458" s="255"/>
      <c r="B458" s="226" t="s">
        <v>11</v>
      </c>
      <c r="C458" s="75"/>
      <c r="D458" s="76"/>
      <c r="E458" s="76"/>
      <c r="F458" s="76"/>
      <c r="G458" s="76">
        <f t="shared" ref="G458:I458" si="570">G482+G464+G470+G476+G488</f>
        <v>0</v>
      </c>
      <c r="H458" s="76">
        <f t="shared" si="570"/>
        <v>0</v>
      </c>
      <c r="I458" s="76">
        <f t="shared" si="570"/>
        <v>0</v>
      </c>
      <c r="J458" s="39" t="e">
        <f t="shared" si="562"/>
        <v>#DIV/0!</v>
      </c>
      <c r="K458" s="37">
        <f t="shared" ref="K458" si="571">K482+K464+K470+K476+K488</f>
        <v>0</v>
      </c>
      <c r="L458" s="39" t="e">
        <f t="shared" si="564"/>
        <v>#DIV/0!</v>
      </c>
      <c r="M458" s="39" t="e">
        <f t="shared" si="565"/>
        <v>#DIV/0!</v>
      </c>
      <c r="N458" s="76">
        <f t="shared" ref="N458" si="572">N482+N464+N470+N476+N488</f>
        <v>0</v>
      </c>
      <c r="O458" s="76">
        <f t="shared" si="560"/>
        <v>0</v>
      </c>
      <c r="P458" s="39" t="e">
        <f t="shared" si="480"/>
        <v>#DIV/0!</v>
      </c>
      <c r="Q458" s="84"/>
      <c r="R458" s="84"/>
      <c r="S458" s="374"/>
    </row>
    <row r="459" spans="1:19" s="239" customFormat="1" ht="113.25" customHeight="1" x14ac:dyDescent="0.25">
      <c r="A459" s="256" t="s">
        <v>134</v>
      </c>
      <c r="B459" s="69" t="s">
        <v>92</v>
      </c>
      <c r="C459" s="69" t="s">
        <v>17</v>
      </c>
      <c r="D459" s="70">
        <f t="shared" ref="D459:I459" si="573">SUM(D460:D464)</f>
        <v>0</v>
      </c>
      <c r="E459" s="70">
        <f t="shared" si="573"/>
        <v>0</v>
      </c>
      <c r="F459" s="70">
        <f t="shared" si="573"/>
        <v>0</v>
      </c>
      <c r="G459" s="70">
        <f t="shared" si="573"/>
        <v>8686.6200000000008</v>
      </c>
      <c r="H459" s="70">
        <f t="shared" si="573"/>
        <v>7596.36</v>
      </c>
      <c r="I459" s="70">
        <f t="shared" si="573"/>
        <v>575.49</v>
      </c>
      <c r="J459" s="73">
        <f>I459/H459</f>
        <v>0.08</v>
      </c>
      <c r="K459" s="70">
        <f>SUM(K460:K464)</f>
        <v>0</v>
      </c>
      <c r="L459" s="73">
        <f>K459/H459</f>
        <v>0</v>
      </c>
      <c r="M459" s="73">
        <f>K459/I459</f>
        <v>0</v>
      </c>
      <c r="N459" s="70">
        <f>SUM(N460:N464)</f>
        <v>7596.36</v>
      </c>
      <c r="O459" s="70">
        <f>H459-N459</f>
        <v>0</v>
      </c>
      <c r="P459" s="73">
        <f t="shared" si="480"/>
        <v>1</v>
      </c>
      <c r="Q459" s="165"/>
      <c r="R459" s="165"/>
      <c r="S459" s="372" t="s">
        <v>514</v>
      </c>
    </row>
    <row r="460" spans="1:19" s="107" customFormat="1" ht="38.25" customHeight="1" x14ac:dyDescent="0.25">
      <c r="A460" s="257"/>
      <c r="B460" s="226" t="s">
        <v>10</v>
      </c>
      <c r="C460" s="75"/>
      <c r="D460" s="76"/>
      <c r="E460" s="76"/>
      <c r="F460" s="79"/>
      <c r="G460" s="76"/>
      <c r="H460" s="76">
        <v>944.84</v>
      </c>
      <c r="I460" s="76">
        <v>59.97</v>
      </c>
      <c r="J460" s="78">
        <f t="shared" ref="J460" si="574">I460/H460</f>
        <v>0.06</v>
      </c>
      <c r="K460" s="76"/>
      <c r="L460" s="78">
        <f t="shared" ref="L460" si="575">K460/H460</f>
        <v>0</v>
      </c>
      <c r="M460" s="78">
        <f t="shared" ref="M460" si="576">K460/I460</f>
        <v>0</v>
      </c>
      <c r="N460" s="76">
        <f>H460</f>
        <v>944.84</v>
      </c>
      <c r="O460" s="76">
        <f>H460-N460</f>
        <v>0</v>
      </c>
      <c r="P460" s="78">
        <f>N460/H460</f>
        <v>1</v>
      </c>
      <c r="Q460" s="149"/>
      <c r="R460" s="149"/>
      <c r="S460" s="373"/>
    </row>
    <row r="461" spans="1:19" s="107" customFormat="1" ht="38.25" customHeight="1" x14ac:dyDescent="0.25">
      <c r="A461" s="257"/>
      <c r="B461" s="226" t="s">
        <v>8</v>
      </c>
      <c r="C461" s="75"/>
      <c r="D461" s="76"/>
      <c r="E461" s="76"/>
      <c r="F461" s="76">
        <f>D461-E461</f>
        <v>0</v>
      </c>
      <c r="G461" s="76">
        <v>8233.1200000000008</v>
      </c>
      <c r="H461" s="76">
        <v>6198.02</v>
      </c>
      <c r="I461" s="76">
        <v>515.52</v>
      </c>
      <c r="J461" s="78">
        <f>I461/H461</f>
        <v>0.08</v>
      </c>
      <c r="K461" s="76"/>
      <c r="L461" s="78">
        <f>K461/H461</f>
        <v>0</v>
      </c>
      <c r="M461" s="78">
        <f>K461/I461</f>
        <v>0</v>
      </c>
      <c r="N461" s="76">
        <f>H461</f>
        <v>6198.02</v>
      </c>
      <c r="O461" s="76">
        <f>H461-N461</f>
        <v>0</v>
      </c>
      <c r="P461" s="78">
        <f t="shared" si="480"/>
        <v>1</v>
      </c>
      <c r="Q461" s="149"/>
      <c r="R461" s="149"/>
      <c r="S461" s="373"/>
    </row>
    <row r="462" spans="1:19" s="107" customFormat="1" ht="38.25" customHeight="1" x14ac:dyDescent="0.25">
      <c r="A462" s="257"/>
      <c r="B462" s="163" t="s">
        <v>20</v>
      </c>
      <c r="C462" s="80"/>
      <c r="D462" s="81"/>
      <c r="E462" s="81"/>
      <c r="F462" s="81"/>
      <c r="G462" s="81">
        <v>453.5</v>
      </c>
      <c r="H462" s="81">
        <v>453.5</v>
      </c>
      <c r="I462" s="81"/>
      <c r="J462" s="84">
        <f t="shared" ref="J462" si="577">I462/H462</f>
        <v>0</v>
      </c>
      <c r="K462" s="81"/>
      <c r="L462" s="84">
        <f t="shared" ref="L462" si="578">K462/H462</f>
        <v>0</v>
      </c>
      <c r="M462" s="84"/>
      <c r="N462" s="76">
        <f>H462</f>
        <v>453.5</v>
      </c>
      <c r="O462" s="76">
        <f t="shared" ref="O462:O464" si="579">H462-N462</f>
        <v>0</v>
      </c>
      <c r="P462" s="84">
        <f t="shared" si="480"/>
        <v>1</v>
      </c>
      <c r="Q462" s="149"/>
      <c r="R462" s="149"/>
      <c r="S462" s="373"/>
    </row>
    <row r="463" spans="1:19" s="107" customFormat="1" ht="38.25" customHeight="1" x14ac:dyDescent="0.25">
      <c r="A463" s="257"/>
      <c r="B463" s="163" t="s">
        <v>22</v>
      </c>
      <c r="C463" s="80"/>
      <c r="D463" s="81"/>
      <c r="E463" s="81"/>
      <c r="F463" s="82"/>
      <c r="G463" s="81"/>
      <c r="H463" s="82"/>
      <c r="I463" s="81"/>
      <c r="J463" s="78"/>
      <c r="K463" s="81"/>
      <c r="L463" s="78"/>
      <c r="M463" s="78"/>
      <c r="N463" s="81"/>
      <c r="O463" s="76">
        <f t="shared" si="579"/>
        <v>0</v>
      </c>
      <c r="P463" s="78"/>
      <c r="Q463" s="149"/>
      <c r="R463" s="149"/>
      <c r="S463" s="373"/>
    </row>
    <row r="464" spans="1:19" s="107" customFormat="1" ht="38.25" customHeight="1" collapsed="1" x14ac:dyDescent="0.25">
      <c r="A464" s="258"/>
      <c r="B464" s="163" t="s">
        <v>11</v>
      </c>
      <c r="C464" s="80"/>
      <c r="D464" s="81"/>
      <c r="E464" s="81"/>
      <c r="F464" s="82"/>
      <c r="G464" s="81"/>
      <c r="H464" s="82"/>
      <c r="I464" s="81"/>
      <c r="J464" s="84"/>
      <c r="K464" s="81"/>
      <c r="L464" s="84"/>
      <c r="M464" s="84"/>
      <c r="N464" s="81"/>
      <c r="O464" s="76">
        <f t="shared" si="579"/>
        <v>0</v>
      </c>
      <c r="P464" s="84"/>
      <c r="Q464" s="84"/>
      <c r="R464" s="84"/>
      <c r="S464" s="374"/>
    </row>
    <row r="465" spans="1:19" s="239" customFormat="1" ht="268.5" customHeight="1" x14ac:dyDescent="0.25">
      <c r="A465" s="256" t="s">
        <v>135</v>
      </c>
      <c r="B465" s="69" t="s">
        <v>234</v>
      </c>
      <c r="C465" s="69" t="s">
        <v>17</v>
      </c>
      <c r="D465" s="70">
        <f t="shared" ref="D465:I465" si="580">SUM(D466:D470)</f>
        <v>0</v>
      </c>
      <c r="E465" s="70">
        <f t="shared" si="580"/>
        <v>0</v>
      </c>
      <c r="F465" s="70">
        <f t="shared" si="580"/>
        <v>0</v>
      </c>
      <c r="G465" s="70">
        <f t="shared" si="580"/>
        <v>1.7</v>
      </c>
      <c r="H465" s="70">
        <f t="shared" si="580"/>
        <v>1.7</v>
      </c>
      <c r="I465" s="70">
        <f t="shared" si="580"/>
        <v>0</v>
      </c>
      <c r="J465" s="56">
        <f>I465/H465</f>
        <v>0</v>
      </c>
      <c r="K465" s="330">
        <f>SUM(K466:K470)</f>
        <v>0</v>
      </c>
      <c r="L465" s="335">
        <f>K465/H465</f>
        <v>0</v>
      </c>
      <c r="M465" s="56" t="e">
        <f>K465/I465</f>
        <v>#DIV/0!</v>
      </c>
      <c r="N465" s="70">
        <f>SUM(N466:N470)</f>
        <v>1.7</v>
      </c>
      <c r="O465" s="70">
        <f>H465-N465</f>
        <v>0</v>
      </c>
      <c r="P465" s="73">
        <f t="shared" ref="P465:P470" si="581">N465/H465</f>
        <v>1</v>
      </c>
      <c r="Q465" s="70">
        <f t="shared" ref="Q465:Q470" si="582">H465-K465</f>
        <v>1.7</v>
      </c>
      <c r="R465" s="70">
        <f t="shared" ref="R465:R470" si="583">I465-K465</f>
        <v>0</v>
      </c>
      <c r="S465" s="372" t="s">
        <v>529</v>
      </c>
    </row>
    <row r="466" spans="1:19" s="107" customFormat="1" ht="36" customHeight="1" x14ac:dyDescent="0.25">
      <c r="A466" s="257"/>
      <c r="B466" s="226" t="s">
        <v>10</v>
      </c>
      <c r="C466" s="75"/>
      <c r="D466" s="76"/>
      <c r="E466" s="76"/>
      <c r="F466" s="79"/>
      <c r="G466" s="76"/>
      <c r="H466" s="76"/>
      <c r="I466" s="76"/>
      <c r="J466" s="39" t="e">
        <f t="shared" ref="J466" si="584">I466/H466</f>
        <v>#DIV/0!</v>
      </c>
      <c r="K466" s="37"/>
      <c r="L466" s="39" t="e">
        <f t="shared" ref="L466" si="585">K466/H466</f>
        <v>#DIV/0!</v>
      </c>
      <c r="M466" s="39" t="e">
        <f t="shared" ref="M466" si="586">K466/I466</f>
        <v>#DIV/0!</v>
      </c>
      <c r="N466" s="76"/>
      <c r="O466" s="76">
        <f>H466-N466</f>
        <v>0</v>
      </c>
      <c r="P466" s="39" t="e">
        <f t="shared" si="581"/>
        <v>#DIV/0!</v>
      </c>
      <c r="Q466" s="76">
        <f t="shared" si="582"/>
        <v>0</v>
      </c>
      <c r="R466" s="76">
        <f t="shared" si="583"/>
        <v>0</v>
      </c>
      <c r="S466" s="373"/>
    </row>
    <row r="467" spans="1:19" s="107" customFormat="1" ht="36" customHeight="1" x14ac:dyDescent="0.25">
      <c r="A467" s="257"/>
      <c r="B467" s="226" t="s">
        <v>8</v>
      </c>
      <c r="C467" s="75"/>
      <c r="D467" s="76"/>
      <c r="E467" s="76"/>
      <c r="F467" s="76">
        <f>D467-E467</f>
        <v>0</v>
      </c>
      <c r="G467" s="76">
        <v>1.7</v>
      </c>
      <c r="H467" s="76">
        <v>1.7</v>
      </c>
      <c r="I467" s="76"/>
      <c r="J467" s="39">
        <f>I467/H467</f>
        <v>0</v>
      </c>
      <c r="K467" s="37"/>
      <c r="L467" s="46">
        <f>K467/H467</f>
        <v>0</v>
      </c>
      <c r="M467" s="39" t="e">
        <f>K467/I467</f>
        <v>#DIV/0!</v>
      </c>
      <c r="N467" s="76">
        <f>H467</f>
        <v>1.7</v>
      </c>
      <c r="O467" s="76">
        <f t="shared" ref="O467:O470" si="587">H467-N467</f>
        <v>0</v>
      </c>
      <c r="P467" s="78">
        <f t="shared" si="581"/>
        <v>1</v>
      </c>
      <c r="Q467" s="76">
        <f t="shared" si="582"/>
        <v>1.7</v>
      </c>
      <c r="R467" s="76">
        <f t="shared" si="583"/>
        <v>0</v>
      </c>
      <c r="S467" s="373"/>
    </row>
    <row r="468" spans="1:19" s="107" customFormat="1" ht="36" customHeight="1" x14ac:dyDescent="0.25">
      <c r="A468" s="257"/>
      <c r="B468" s="226" t="s">
        <v>20</v>
      </c>
      <c r="C468" s="75"/>
      <c r="D468" s="76"/>
      <c r="E468" s="76"/>
      <c r="F468" s="76"/>
      <c r="G468" s="76"/>
      <c r="H468" s="76"/>
      <c r="I468" s="76"/>
      <c r="J468" s="39" t="e">
        <f t="shared" ref="J468:J470" si="588">I468/H468</f>
        <v>#DIV/0!</v>
      </c>
      <c r="K468" s="37"/>
      <c r="L468" s="39" t="e">
        <f t="shared" ref="L468:L470" si="589">K468/H468</f>
        <v>#DIV/0!</v>
      </c>
      <c r="M468" s="39" t="e">
        <f t="shared" ref="M468:M470" si="590">K468/I468</f>
        <v>#DIV/0!</v>
      </c>
      <c r="N468" s="76"/>
      <c r="O468" s="76">
        <f t="shared" si="587"/>
        <v>0</v>
      </c>
      <c r="P468" s="39" t="e">
        <f t="shared" si="581"/>
        <v>#DIV/0!</v>
      </c>
      <c r="Q468" s="76">
        <f t="shared" si="582"/>
        <v>0</v>
      </c>
      <c r="R468" s="76">
        <f t="shared" si="583"/>
        <v>0</v>
      </c>
      <c r="S468" s="373"/>
    </row>
    <row r="469" spans="1:19" s="107" customFormat="1" ht="36" customHeight="1" x14ac:dyDescent="0.25">
      <c r="A469" s="257"/>
      <c r="B469" s="163" t="s">
        <v>22</v>
      </c>
      <c r="C469" s="80"/>
      <c r="D469" s="81"/>
      <c r="E469" s="81"/>
      <c r="F469" s="82"/>
      <c r="G469" s="81"/>
      <c r="H469" s="81"/>
      <c r="I469" s="81"/>
      <c r="J469" s="39" t="e">
        <f t="shared" si="588"/>
        <v>#DIV/0!</v>
      </c>
      <c r="K469" s="41"/>
      <c r="L469" s="39" t="e">
        <f t="shared" si="589"/>
        <v>#DIV/0!</v>
      </c>
      <c r="M469" s="39" t="e">
        <f t="shared" si="590"/>
        <v>#DIV/0!</v>
      </c>
      <c r="N469" s="81"/>
      <c r="O469" s="76">
        <f t="shared" si="587"/>
        <v>0</v>
      </c>
      <c r="P469" s="39" t="e">
        <f t="shared" si="581"/>
        <v>#DIV/0!</v>
      </c>
      <c r="Q469" s="81">
        <f t="shared" si="582"/>
        <v>0</v>
      </c>
      <c r="R469" s="81">
        <f t="shared" si="583"/>
        <v>0</v>
      </c>
      <c r="S469" s="373"/>
    </row>
    <row r="470" spans="1:19" s="107" customFormat="1" ht="36" customHeight="1" collapsed="1" x14ac:dyDescent="0.25">
      <c r="A470" s="258"/>
      <c r="B470" s="226" t="s">
        <v>11</v>
      </c>
      <c r="C470" s="75"/>
      <c r="D470" s="76"/>
      <c r="E470" s="76"/>
      <c r="F470" s="79"/>
      <c r="G470" s="76"/>
      <c r="H470" s="79"/>
      <c r="I470" s="76"/>
      <c r="J470" s="39" t="e">
        <f t="shared" si="588"/>
        <v>#DIV/0!</v>
      </c>
      <c r="K470" s="37"/>
      <c r="L470" s="39" t="e">
        <f t="shared" si="589"/>
        <v>#DIV/0!</v>
      </c>
      <c r="M470" s="39" t="e">
        <f t="shared" si="590"/>
        <v>#DIV/0!</v>
      </c>
      <c r="N470" s="76"/>
      <c r="O470" s="76">
        <f t="shared" si="587"/>
        <v>0</v>
      </c>
      <c r="P470" s="39" t="e">
        <f t="shared" si="581"/>
        <v>#DIV/0!</v>
      </c>
      <c r="Q470" s="76">
        <f t="shared" si="582"/>
        <v>0</v>
      </c>
      <c r="R470" s="79">
        <f t="shared" si="583"/>
        <v>0</v>
      </c>
      <c r="S470" s="374"/>
    </row>
    <row r="471" spans="1:19" s="244" customFormat="1" ht="116.25" outlineLevel="1" x14ac:dyDescent="0.25">
      <c r="A471" s="256" t="s">
        <v>136</v>
      </c>
      <c r="B471" s="69" t="s">
        <v>93</v>
      </c>
      <c r="C471" s="69" t="s">
        <v>17</v>
      </c>
      <c r="D471" s="70">
        <f t="shared" ref="D471:I471" si="591">SUM(D472:D476)</f>
        <v>0</v>
      </c>
      <c r="E471" s="70">
        <f t="shared" si="591"/>
        <v>0</v>
      </c>
      <c r="F471" s="70">
        <f t="shared" si="591"/>
        <v>0</v>
      </c>
      <c r="G471" s="70">
        <f t="shared" si="591"/>
        <v>7417.8</v>
      </c>
      <c r="H471" s="70">
        <f t="shared" si="591"/>
        <v>9116.06</v>
      </c>
      <c r="I471" s="70">
        <f t="shared" si="591"/>
        <v>9116.06</v>
      </c>
      <c r="J471" s="73">
        <f>I471/H471</f>
        <v>1</v>
      </c>
      <c r="K471" s="70">
        <f>SUM(K472:K476)</f>
        <v>0</v>
      </c>
      <c r="L471" s="73">
        <f>K471/H471</f>
        <v>0</v>
      </c>
      <c r="M471" s="73">
        <f>K471/I471</f>
        <v>0</v>
      </c>
      <c r="N471" s="70">
        <f>SUM(N472:N476)</f>
        <v>9116.06</v>
      </c>
      <c r="O471" s="70">
        <f>H471-N471</f>
        <v>0</v>
      </c>
      <c r="P471" s="73">
        <f t="shared" ref="P471:P546" si="592">N471/H471</f>
        <v>1</v>
      </c>
      <c r="Q471" s="165"/>
      <c r="R471" s="165"/>
      <c r="S471" s="378" t="s">
        <v>515</v>
      </c>
    </row>
    <row r="472" spans="1:19" s="107" customFormat="1" ht="59.25" customHeight="1" outlineLevel="1" x14ac:dyDescent="0.25">
      <c r="A472" s="257"/>
      <c r="B472" s="226" t="s">
        <v>10</v>
      </c>
      <c r="C472" s="75"/>
      <c r="D472" s="76"/>
      <c r="E472" s="76"/>
      <c r="F472" s="79"/>
      <c r="G472" s="76">
        <v>7417.8</v>
      </c>
      <c r="H472" s="76">
        <v>9116.06</v>
      </c>
      <c r="I472" s="76">
        <v>9116.06</v>
      </c>
      <c r="J472" s="78">
        <f t="shared" ref="J472" si="593">I472/H472</f>
        <v>1</v>
      </c>
      <c r="K472" s="76"/>
      <c r="L472" s="78">
        <f t="shared" ref="L472" si="594">K472/H472</f>
        <v>0</v>
      </c>
      <c r="M472" s="78">
        <f t="shared" ref="M472" si="595">K472/I472</f>
        <v>0</v>
      </c>
      <c r="N472" s="76">
        <f>H472</f>
        <v>9116.06</v>
      </c>
      <c r="O472" s="76">
        <f>H472-N472</f>
        <v>0</v>
      </c>
      <c r="P472" s="78">
        <f t="shared" si="592"/>
        <v>1</v>
      </c>
      <c r="Q472" s="149"/>
      <c r="R472" s="149"/>
      <c r="S472" s="379"/>
    </row>
    <row r="473" spans="1:19" s="107" customFormat="1" ht="59.25" customHeight="1" outlineLevel="1" x14ac:dyDescent="0.25">
      <c r="A473" s="257"/>
      <c r="B473" s="226" t="s">
        <v>8</v>
      </c>
      <c r="C473" s="75"/>
      <c r="D473" s="76"/>
      <c r="E473" s="76"/>
      <c r="F473" s="76">
        <f>D473-E473</f>
        <v>0</v>
      </c>
      <c r="G473" s="76"/>
      <c r="H473" s="76"/>
      <c r="I473" s="76"/>
      <c r="J473" s="39" t="e">
        <f>I473/H473</f>
        <v>#DIV/0!</v>
      </c>
      <c r="K473" s="37"/>
      <c r="L473" s="39" t="e">
        <f>K473/H473</f>
        <v>#DIV/0!</v>
      </c>
      <c r="M473" s="39" t="e">
        <f>K473/I473</f>
        <v>#DIV/0!</v>
      </c>
      <c r="N473" s="37"/>
      <c r="O473" s="37">
        <f t="shared" ref="O473:O482" si="596">H473-N473</f>
        <v>0</v>
      </c>
      <c r="P473" s="39" t="e">
        <f t="shared" si="592"/>
        <v>#DIV/0!</v>
      </c>
      <c r="Q473" s="149"/>
      <c r="R473" s="149"/>
      <c r="S473" s="379"/>
    </row>
    <row r="474" spans="1:19" s="107" customFormat="1" ht="59.25" customHeight="1" outlineLevel="1" x14ac:dyDescent="0.25">
      <c r="A474" s="257"/>
      <c r="B474" s="226" t="s">
        <v>20</v>
      </c>
      <c r="C474" s="75"/>
      <c r="D474" s="76"/>
      <c r="E474" s="76"/>
      <c r="F474" s="76"/>
      <c r="G474" s="76"/>
      <c r="H474" s="76"/>
      <c r="I474" s="76"/>
      <c r="J474" s="39" t="e">
        <f t="shared" ref="J474:J476" si="597">I474/H474</f>
        <v>#DIV/0!</v>
      </c>
      <c r="K474" s="37"/>
      <c r="L474" s="39" t="e">
        <f t="shared" ref="L474:L476" si="598">K474/H474</f>
        <v>#DIV/0!</v>
      </c>
      <c r="M474" s="39" t="e">
        <f t="shared" ref="M474:M476" si="599">K474/I474</f>
        <v>#DIV/0!</v>
      </c>
      <c r="N474" s="37"/>
      <c r="O474" s="37">
        <f t="shared" si="596"/>
        <v>0</v>
      </c>
      <c r="P474" s="39" t="e">
        <f t="shared" si="592"/>
        <v>#DIV/0!</v>
      </c>
      <c r="Q474" s="149"/>
      <c r="R474" s="149"/>
      <c r="S474" s="379"/>
    </row>
    <row r="475" spans="1:19" s="107" customFormat="1" ht="59.25" customHeight="1" outlineLevel="1" x14ac:dyDescent="0.25">
      <c r="A475" s="257"/>
      <c r="B475" s="163" t="s">
        <v>22</v>
      </c>
      <c r="C475" s="80"/>
      <c r="D475" s="81"/>
      <c r="E475" s="81"/>
      <c r="F475" s="82"/>
      <c r="G475" s="81"/>
      <c r="H475" s="82"/>
      <c r="I475" s="81"/>
      <c r="J475" s="39" t="e">
        <f t="shared" si="597"/>
        <v>#DIV/0!</v>
      </c>
      <c r="K475" s="41"/>
      <c r="L475" s="39" t="e">
        <f t="shared" si="598"/>
        <v>#DIV/0!</v>
      </c>
      <c r="M475" s="39" t="e">
        <f t="shared" si="599"/>
        <v>#DIV/0!</v>
      </c>
      <c r="N475" s="41"/>
      <c r="O475" s="37">
        <f t="shared" si="596"/>
        <v>0</v>
      </c>
      <c r="P475" s="39" t="e">
        <f t="shared" si="592"/>
        <v>#DIV/0!</v>
      </c>
      <c r="Q475" s="149"/>
      <c r="R475" s="149"/>
      <c r="S475" s="379"/>
    </row>
    <row r="476" spans="1:19" s="107" customFormat="1" ht="111.75" customHeight="1" outlineLevel="1" collapsed="1" x14ac:dyDescent="0.25">
      <c r="A476" s="258"/>
      <c r="B476" s="226" t="s">
        <v>11</v>
      </c>
      <c r="C476" s="75"/>
      <c r="D476" s="76"/>
      <c r="E476" s="76"/>
      <c r="F476" s="79"/>
      <c r="G476" s="76"/>
      <c r="H476" s="79"/>
      <c r="I476" s="76"/>
      <c r="J476" s="39" t="e">
        <f t="shared" si="597"/>
        <v>#DIV/0!</v>
      </c>
      <c r="K476" s="37"/>
      <c r="L476" s="39" t="e">
        <f t="shared" si="598"/>
        <v>#DIV/0!</v>
      </c>
      <c r="M476" s="39" t="e">
        <f t="shared" si="599"/>
        <v>#DIV/0!</v>
      </c>
      <c r="N476" s="37"/>
      <c r="O476" s="37">
        <f t="shared" si="596"/>
        <v>0</v>
      </c>
      <c r="P476" s="39" t="e">
        <f t="shared" si="592"/>
        <v>#DIV/0!</v>
      </c>
      <c r="Q476" s="84"/>
      <c r="R476" s="84"/>
      <c r="S476" s="380"/>
    </row>
    <row r="477" spans="1:19" s="245" customFormat="1" ht="88.5" customHeight="1" x14ac:dyDescent="0.25">
      <c r="A477" s="256" t="s">
        <v>137</v>
      </c>
      <c r="B477" s="69" t="s">
        <v>196</v>
      </c>
      <c r="C477" s="69" t="s">
        <v>17</v>
      </c>
      <c r="D477" s="70">
        <f t="shared" ref="D477:I477" si="600">SUM(D478:D482)</f>
        <v>0</v>
      </c>
      <c r="E477" s="70">
        <f t="shared" si="600"/>
        <v>0</v>
      </c>
      <c r="F477" s="70">
        <f t="shared" si="600"/>
        <v>0</v>
      </c>
      <c r="G477" s="70">
        <f t="shared" si="600"/>
        <v>5810.6</v>
      </c>
      <c r="H477" s="70">
        <f t="shared" si="600"/>
        <v>5950.76</v>
      </c>
      <c r="I477" s="70">
        <f t="shared" si="600"/>
        <v>5950.76</v>
      </c>
      <c r="J477" s="73">
        <f>I477/H477</f>
        <v>1</v>
      </c>
      <c r="K477" s="70">
        <f>SUM(K478:K482)</f>
        <v>3811.02</v>
      </c>
      <c r="L477" s="73">
        <f>K477/H477</f>
        <v>0.64</v>
      </c>
      <c r="M477" s="73">
        <f>K477/I477</f>
        <v>0.64</v>
      </c>
      <c r="N477" s="70">
        <f>SUM(N478:N482)</f>
        <v>5950.76</v>
      </c>
      <c r="O477" s="70">
        <f t="shared" si="596"/>
        <v>0</v>
      </c>
      <c r="P477" s="73">
        <f t="shared" si="592"/>
        <v>1</v>
      </c>
      <c r="Q477" s="165"/>
      <c r="R477" s="165"/>
      <c r="S477" s="372" t="s">
        <v>516</v>
      </c>
    </row>
    <row r="478" spans="1:19" s="107" customFormat="1" ht="57" customHeight="1" x14ac:dyDescent="0.25">
      <c r="A478" s="257"/>
      <c r="B478" s="226" t="s">
        <v>10</v>
      </c>
      <c r="C478" s="75"/>
      <c r="D478" s="76"/>
      <c r="E478" s="76"/>
      <c r="F478" s="79"/>
      <c r="G478" s="76">
        <v>4450.6000000000004</v>
      </c>
      <c r="H478" s="76">
        <v>4558.03</v>
      </c>
      <c r="I478" s="76">
        <f>H478</f>
        <v>4558.03</v>
      </c>
      <c r="J478" s="78">
        <f t="shared" ref="J478" si="601">I478/H478</f>
        <v>1</v>
      </c>
      <c r="K478" s="76">
        <v>3038.69</v>
      </c>
      <c r="L478" s="78">
        <f t="shared" ref="L478" si="602">K478/H478</f>
        <v>0.67</v>
      </c>
      <c r="M478" s="78">
        <f t="shared" ref="M478" si="603">K478/I478</f>
        <v>0.67</v>
      </c>
      <c r="N478" s="76">
        <f>H478</f>
        <v>4558.03</v>
      </c>
      <c r="O478" s="76">
        <f>H478-N478</f>
        <v>0</v>
      </c>
      <c r="P478" s="78">
        <f t="shared" si="592"/>
        <v>1</v>
      </c>
      <c r="Q478" s="149"/>
      <c r="R478" s="149"/>
      <c r="S478" s="373"/>
    </row>
    <row r="479" spans="1:19" s="107" customFormat="1" ht="57" customHeight="1" x14ac:dyDescent="0.25">
      <c r="A479" s="257"/>
      <c r="B479" s="226" t="s">
        <v>8</v>
      </c>
      <c r="C479" s="75"/>
      <c r="D479" s="76"/>
      <c r="E479" s="76"/>
      <c r="F479" s="76">
        <f>D479-E479</f>
        <v>0</v>
      </c>
      <c r="G479" s="76">
        <v>1360</v>
      </c>
      <c r="H479" s="76">
        <v>1392.73</v>
      </c>
      <c r="I479" s="76">
        <f>H479</f>
        <v>1392.73</v>
      </c>
      <c r="J479" s="78">
        <f>I479/H479</f>
        <v>1</v>
      </c>
      <c r="K479" s="76">
        <v>772.33</v>
      </c>
      <c r="L479" s="78">
        <f>K479/H479</f>
        <v>0.55000000000000004</v>
      </c>
      <c r="M479" s="78">
        <f>K479/I479</f>
        <v>0.55000000000000004</v>
      </c>
      <c r="N479" s="76">
        <f>H479</f>
        <v>1392.73</v>
      </c>
      <c r="O479" s="76">
        <f t="shared" si="596"/>
        <v>0</v>
      </c>
      <c r="P479" s="78">
        <f t="shared" si="592"/>
        <v>1</v>
      </c>
      <c r="Q479" s="149"/>
      <c r="R479" s="149"/>
      <c r="S479" s="373"/>
    </row>
    <row r="480" spans="1:19" s="107" customFormat="1" ht="57" customHeight="1" x14ac:dyDescent="0.25">
      <c r="A480" s="257"/>
      <c r="B480" s="226" t="s">
        <v>20</v>
      </c>
      <c r="C480" s="75"/>
      <c r="D480" s="76"/>
      <c r="E480" s="76"/>
      <c r="F480" s="76"/>
      <c r="G480" s="76"/>
      <c r="H480" s="76"/>
      <c r="I480" s="76"/>
      <c r="J480" s="39" t="e">
        <f t="shared" ref="J480:J482" si="604">I480/H480</f>
        <v>#DIV/0!</v>
      </c>
      <c r="K480" s="37"/>
      <c r="L480" s="39" t="e">
        <f t="shared" ref="L480:L482" si="605">K480/H480</f>
        <v>#DIV/0!</v>
      </c>
      <c r="M480" s="39" t="e">
        <f t="shared" ref="M480:M482" si="606">K480/I480</f>
        <v>#DIV/0!</v>
      </c>
      <c r="N480" s="37">
        <f>H480</f>
        <v>0</v>
      </c>
      <c r="O480" s="37">
        <f t="shared" si="596"/>
        <v>0</v>
      </c>
      <c r="P480" s="39" t="e">
        <f t="shared" si="592"/>
        <v>#DIV/0!</v>
      </c>
      <c r="Q480" s="149"/>
      <c r="R480" s="149"/>
      <c r="S480" s="373"/>
    </row>
    <row r="481" spans="1:19" s="107" customFormat="1" ht="57" customHeight="1" x14ac:dyDescent="0.25">
      <c r="A481" s="257"/>
      <c r="B481" s="163" t="s">
        <v>22</v>
      </c>
      <c r="C481" s="80"/>
      <c r="D481" s="81"/>
      <c r="E481" s="81"/>
      <c r="F481" s="82"/>
      <c r="G481" s="81"/>
      <c r="H481" s="82"/>
      <c r="I481" s="81"/>
      <c r="J481" s="39" t="e">
        <f t="shared" si="604"/>
        <v>#DIV/0!</v>
      </c>
      <c r="K481" s="41"/>
      <c r="L481" s="39" t="e">
        <f t="shared" si="605"/>
        <v>#DIV/0!</v>
      </c>
      <c r="M481" s="39" t="e">
        <f t="shared" si="606"/>
        <v>#DIV/0!</v>
      </c>
      <c r="N481" s="41"/>
      <c r="O481" s="41">
        <f t="shared" si="596"/>
        <v>0</v>
      </c>
      <c r="P481" s="39" t="e">
        <f t="shared" si="592"/>
        <v>#DIV/0!</v>
      </c>
      <c r="Q481" s="149"/>
      <c r="R481" s="149"/>
      <c r="S481" s="373"/>
    </row>
    <row r="482" spans="1:19" s="107" customFormat="1" ht="57" customHeight="1" x14ac:dyDescent="0.25">
      <c r="A482" s="258"/>
      <c r="B482" s="226" t="s">
        <v>11</v>
      </c>
      <c r="C482" s="75"/>
      <c r="D482" s="76"/>
      <c r="E482" s="76"/>
      <c r="F482" s="79"/>
      <c r="G482" s="76"/>
      <c r="H482" s="79"/>
      <c r="I482" s="76"/>
      <c r="J482" s="39" t="e">
        <f t="shared" si="604"/>
        <v>#DIV/0!</v>
      </c>
      <c r="K482" s="37"/>
      <c r="L482" s="39" t="e">
        <f t="shared" si="605"/>
        <v>#DIV/0!</v>
      </c>
      <c r="M482" s="39" t="e">
        <f t="shared" si="606"/>
        <v>#DIV/0!</v>
      </c>
      <c r="N482" s="37"/>
      <c r="O482" s="37">
        <f t="shared" si="596"/>
        <v>0</v>
      </c>
      <c r="P482" s="39" t="e">
        <f t="shared" si="592"/>
        <v>#DIV/0!</v>
      </c>
      <c r="Q482" s="84"/>
      <c r="R482" s="84"/>
      <c r="S482" s="374"/>
    </row>
    <row r="483" spans="1:19" s="245" customFormat="1" ht="87" customHeight="1" x14ac:dyDescent="0.25">
      <c r="A483" s="256" t="s">
        <v>217</v>
      </c>
      <c r="B483" s="69" t="s">
        <v>266</v>
      </c>
      <c r="C483" s="69" t="s">
        <v>17</v>
      </c>
      <c r="D483" s="70">
        <f t="shared" ref="D483:I483" si="607">SUM(D484:D488)</f>
        <v>0</v>
      </c>
      <c r="E483" s="70">
        <f t="shared" si="607"/>
        <v>0</v>
      </c>
      <c r="F483" s="70">
        <f t="shared" si="607"/>
        <v>0</v>
      </c>
      <c r="G483" s="70">
        <f t="shared" si="607"/>
        <v>2438.1</v>
      </c>
      <c r="H483" s="70">
        <f t="shared" si="607"/>
        <v>2438.1</v>
      </c>
      <c r="I483" s="70">
        <f t="shared" si="607"/>
        <v>0</v>
      </c>
      <c r="J483" s="73">
        <f>I483/H483</f>
        <v>0</v>
      </c>
      <c r="K483" s="70">
        <f>SUM(K484:K488)</f>
        <v>0</v>
      </c>
      <c r="L483" s="73">
        <f>K483/H483</f>
        <v>0</v>
      </c>
      <c r="M483" s="56" t="e">
        <f>K483/I483</f>
        <v>#DIV/0!</v>
      </c>
      <c r="N483" s="70">
        <f>SUM(N484:N488)</f>
        <v>2438.1</v>
      </c>
      <c r="O483" s="70">
        <f t="shared" ref="O483" si="608">H483-N483</f>
        <v>0</v>
      </c>
      <c r="P483" s="73">
        <f t="shared" ref="P483:P488" si="609">N483/H483</f>
        <v>1</v>
      </c>
      <c r="Q483" s="165"/>
      <c r="R483" s="165"/>
      <c r="S483" s="372" t="s">
        <v>392</v>
      </c>
    </row>
    <row r="484" spans="1:19" s="107" customFormat="1" ht="53.25" customHeight="1" x14ac:dyDescent="0.25">
      <c r="A484" s="257"/>
      <c r="B484" s="226" t="s">
        <v>451</v>
      </c>
      <c r="C484" s="75"/>
      <c r="D484" s="76"/>
      <c r="E484" s="76"/>
      <c r="F484" s="79"/>
      <c r="G484" s="76">
        <v>2438.1</v>
      </c>
      <c r="H484" s="76">
        <v>2438.1</v>
      </c>
      <c r="I484" s="76"/>
      <c r="J484" s="78">
        <f t="shared" ref="J484" si="610">I484/H484</f>
        <v>0</v>
      </c>
      <c r="K484" s="76"/>
      <c r="L484" s="78">
        <f t="shared" ref="L484" si="611">K484/H484</f>
        <v>0</v>
      </c>
      <c r="M484" s="39" t="e">
        <f t="shared" ref="M484" si="612">K484/I484</f>
        <v>#DIV/0!</v>
      </c>
      <c r="N484" s="76">
        <f>H484</f>
        <v>2438.1</v>
      </c>
      <c r="O484" s="76">
        <f>H484-N484</f>
        <v>0</v>
      </c>
      <c r="P484" s="78">
        <f t="shared" si="609"/>
        <v>1</v>
      </c>
      <c r="Q484" s="149"/>
      <c r="R484" s="149"/>
      <c r="S484" s="373"/>
    </row>
    <row r="485" spans="1:19" s="107" customFormat="1" ht="53.25" customHeight="1" x14ac:dyDescent="0.25">
      <c r="A485" s="257"/>
      <c r="B485" s="226" t="s">
        <v>8</v>
      </c>
      <c r="C485" s="75"/>
      <c r="D485" s="76"/>
      <c r="E485" s="76"/>
      <c r="F485" s="76">
        <f>D485-E485</f>
        <v>0</v>
      </c>
      <c r="G485" s="76"/>
      <c r="H485" s="76"/>
      <c r="I485" s="76"/>
      <c r="J485" s="39" t="e">
        <f>I485/H485</f>
        <v>#DIV/0!</v>
      </c>
      <c r="K485" s="37"/>
      <c r="L485" s="39" t="e">
        <f>K485/H485</f>
        <v>#DIV/0!</v>
      </c>
      <c r="M485" s="39" t="e">
        <f>K485/I485</f>
        <v>#DIV/0!</v>
      </c>
      <c r="N485" s="37">
        <f>H485</f>
        <v>0</v>
      </c>
      <c r="O485" s="37">
        <f t="shared" ref="O485:O488" si="613">H485-N485</f>
        <v>0</v>
      </c>
      <c r="P485" s="39" t="e">
        <f t="shared" si="609"/>
        <v>#DIV/0!</v>
      </c>
      <c r="Q485" s="149"/>
      <c r="R485" s="149"/>
      <c r="S485" s="373"/>
    </row>
    <row r="486" spans="1:19" s="107" customFormat="1" ht="53.25" customHeight="1" x14ac:dyDescent="0.25">
      <c r="A486" s="257"/>
      <c r="B486" s="226" t="s">
        <v>20</v>
      </c>
      <c r="C486" s="75"/>
      <c r="D486" s="76"/>
      <c r="E486" s="76"/>
      <c r="F486" s="76"/>
      <c r="G486" s="76"/>
      <c r="H486" s="76"/>
      <c r="I486" s="76"/>
      <c r="J486" s="39" t="e">
        <f t="shared" ref="J486:J488" si="614">I486/H486</f>
        <v>#DIV/0!</v>
      </c>
      <c r="K486" s="37"/>
      <c r="L486" s="39" t="e">
        <f t="shared" ref="L486:L488" si="615">K486/H486</f>
        <v>#DIV/0!</v>
      </c>
      <c r="M486" s="39" t="e">
        <f t="shared" ref="M486:M488" si="616">K486/I486</f>
        <v>#DIV/0!</v>
      </c>
      <c r="N486" s="37">
        <f>H486</f>
        <v>0</v>
      </c>
      <c r="O486" s="37">
        <f t="shared" si="613"/>
        <v>0</v>
      </c>
      <c r="P486" s="39" t="e">
        <f t="shared" si="609"/>
        <v>#DIV/0!</v>
      </c>
      <c r="Q486" s="149"/>
      <c r="R486" s="149"/>
      <c r="S486" s="373"/>
    </row>
    <row r="487" spans="1:19" s="107" customFormat="1" ht="53.25" customHeight="1" x14ac:dyDescent="0.25">
      <c r="A487" s="257"/>
      <c r="B487" s="163" t="s">
        <v>22</v>
      </c>
      <c r="C487" s="80"/>
      <c r="D487" s="81"/>
      <c r="E487" s="81"/>
      <c r="F487" s="82"/>
      <c r="G487" s="81"/>
      <c r="H487" s="82"/>
      <c r="I487" s="81"/>
      <c r="J487" s="39" t="e">
        <f t="shared" si="614"/>
        <v>#DIV/0!</v>
      </c>
      <c r="K487" s="41"/>
      <c r="L487" s="39" t="e">
        <f t="shared" si="615"/>
        <v>#DIV/0!</v>
      </c>
      <c r="M487" s="39" t="e">
        <f t="shared" si="616"/>
        <v>#DIV/0!</v>
      </c>
      <c r="N487" s="41"/>
      <c r="O487" s="41">
        <f t="shared" si="613"/>
        <v>0</v>
      </c>
      <c r="P487" s="39" t="e">
        <f t="shared" si="609"/>
        <v>#DIV/0!</v>
      </c>
      <c r="Q487" s="149"/>
      <c r="R487" s="149"/>
      <c r="S487" s="373"/>
    </row>
    <row r="488" spans="1:19" s="107" customFormat="1" ht="53.25" customHeight="1" x14ac:dyDescent="0.25">
      <c r="A488" s="258"/>
      <c r="B488" s="226" t="s">
        <v>11</v>
      </c>
      <c r="C488" s="75"/>
      <c r="D488" s="76"/>
      <c r="E488" s="76"/>
      <c r="F488" s="79"/>
      <c r="G488" s="76"/>
      <c r="H488" s="79"/>
      <c r="I488" s="76"/>
      <c r="J488" s="39" t="e">
        <f t="shared" si="614"/>
        <v>#DIV/0!</v>
      </c>
      <c r="K488" s="37"/>
      <c r="L488" s="39" t="e">
        <f t="shared" si="615"/>
        <v>#DIV/0!</v>
      </c>
      <c r="M488" s="39" t="e">
        <f t="shared" si="616"/>
        <v>#DIV/0!</v>
      </c>
      <c r="N488" s="37"/>
      <c r="O488" s="37">
        <f t="shared" si="613"/>
        <v>0</v>
      </c>
      <c r="P488" s="39" t="e">
        <f t="shared" si="609"/>
        <v>#DIV/0!</v>
      </c>
      <c r="Q488" s="84"/>
      <c r="R488" s="84"/>
      <c r="S488" s="374"/>
    </row>
    <row r="489" spans="1:19" s="243" customFormat="1" ht="292.5" customHeight="1" x14ac:dyDescent="0.25">
      <c r="A489" s="396" t="s">
        <v>38</v>
      </c>
      <c r="B489" s="138" t="s">
        <v>308</v>
      </c>
      <c r="C489" s="138" t="s">
        <v>9</v>
      </c>
      <c r="D489" s="139">
        <f t="shared" ref="D489:I489" si="617">SUM(D490:D494)</f>
        <v>0</v>
      </c>
      <c r="E489" s="139">
        <f t="shared" si="617"/>
        <v>0</v>
      </c>
      <c r="F489" s="139">
        <f t="shared" si="617"/>
        <v>0</v>
      </c>
      <c r="G489" s="139">
        <f t="shared" si="617"/>
        <v>151879.5</v>
      </c>
      <c r="H489" s="139">
        <f t="shared" si="617"/>
        <v>175491.1</v>
      </c>
      <c r="I489" s="139">
        <f t="shared" si="617"/>
        <v>35839.269999999997</v>
      </c>
      <c r="J489" s="140">
        <f>I489/H489</f>
        <v>0.2</v>
      </c>
      <c r="K489" s="139">
        <f t="shared" ref="K489" si="618">SUM(K490:K494)</f>
        <v>28925.040000000001</v>
      </c>
      <c r="L489" s="141">
        <f>K489/H489</f>
        <v>0.16</v>
      </c>
      <c r="M489" s="141">
        <f>K489/I489</f>
        <v>0.81</v>
      </c>
      <c r="N489" s="139">
        <f t="shared" ref="N489:O489" si="619">SUM(N490:N494)</f>
        <v>172901.32</v>
      </c>
      <c r="O489" s="139">
        <f t="shared" si="619"/>
        <v>2589.7800000000002</v>
      </c>
      <c r="P489" s="141">
        <f t="shared" si="592"/>
        <v>0.99</v>
      </c>
      <c r="Q489" s="139">
        <f t="shared" ref="Q489:Q558" si="620">H489-K489</f>
        <v>146566.06</v>
      </c>
      <c r="R489" s="139">
        <f t="shared" ref="R489:R558" si="621">I489-K489</f>
        <v>6914.23</v>
      </c>
      <c r="S489" s="381" t="s">
        <v>507</v>
      </c>
    </row>
    <row r="490" spans="1:19" s="231" customFormat="1" ht="106.5" customHeight="1" x14ac:dyDescent="0.25">
      <c r="A490" s="397"/>
      <c r="B490" s="178" t="s">
        <v>10</v>
      </c>
      <c r="C490" s="178"/>
      <c r="D490" s="179"/>
      <c r="E490" s="179"/>
      <c r="F490" s="259"/>
      <c r="G490" s="355">
        <f t="shared" ref="G490:I491" si="622">G496+G526+G544+G514+G598</f>
        <v>0</v>
      </c>
      <c r="H490" s="355">
        <f t="shared" si="622"/>
        <v>0</v>
      </c>
      <c r="I490" s="355">
        <f t="shared" si="622"/>
        <v>0</v>
      </c>
      <c r="J490" s="356" t="e">
        <f t="shared" ref="J490:J491" si="623">I490/H490</f>
        <v>#DIV/0!</v>
      </c>
      <c r="K490" s="355">
        <f>K496+K526+K544+K514+K598</f>
        <v>0</v>
      </c>
      <c r="L490" s="357" t="e">
        <f>K490/H490</f>
        <v>#DIV/0!</v>
      </c>
      <c r="M490" s="357" t="e">
        <f t="shared" ref="M490:M510" si="624">K490/I490</f>
        <v>#DIV/0!</v>
      </c>
      <c r="N490" s="355">
        <f t="shared" ref="N490:O490" si="625">N496+N526+N544+N514+N598</f>
        <v>0</v>
      </c>
      <c r="O490" s="355">
        <f t="shared" si="625"/>
        <v>0</v>
      </c>
      <c r="P490" s="357" t="e">
        <f t="shared" si="592"/>
        <v>#DIV/0!</v>
      </c>
      <c r="Q490" s="179">
        <f t="shared" si="620"/>
        <v>0</v>
      </c>
      <c r="R490" s="179">
        <f t="shared" si="621"/>
        <v>0</v>
      </c>
      <c r="S490" s="366"/>
    </row>
    <row r="491" spans="1:19" s="231" customFormat="1" ht="106.5" customHeight="1" x14ac:dyDescent="0.25">
      <c r="A491" s="397"/>
      <c r="B491" s="178" t="s">
        <v>8</v>
      </c>
      <c r="C491" s="178"/>
      <c r="D491" s="179"/>
      <c r="E491" s="179"/>
      <c r="F491" s="259"/>
      <c r="G491" s="179">
        <f t="shared" si="622"/>
        <v>58677.2</v>
      </c>
      <c r="H491" s="179">
        <f t="shared" si="622"/>
        <v>82288.800000000003</v>
      </c>
      <c r="I491" s="179">
        <f t="shared" si="622"/>
        <v>26177.45</v>
      </c>
      <c r="J491" s="218">
        <f t="shared" si="623"/>
        <v>0.32</v>
      </c>
      <c r="K491" s="179">
        <f t="shared" ref="K491" si="626">K497+K527+K545+K515+K599</f>
        <v>19263.22</v>
      </c>
      <c r="L491" s="219">
        <f>K491/H491</f>
        <v>0.23</v>
      </c>
      <c r="M491" s="219">
        <f t="shared" si="624"/>
        <v>0.74</v>
      </c>
      <c r="N491" s="179">
        <f t="shared" ref="N491:O491" si="627">N497+N527+N545+N515+N599</f>
        <v>82288.800000000003</v>
      </c>
      <c r="O491" s="179">
        <f t="shared" si="627"/>
        <v>0</v>
      </c>
      <c r="P491" s="219">
        <f t="shared" si="592"/>
        <v>1</v>
      </c>
      <c r="Q491" s="179">
        <f t="shared" si="620"/>
        <v>63025.58</v>
      </c>
      <c r="R491" s="179">
        <f t="shared" si="621"/>
        <v>6914.23</v>
      </c>
      <c r="S491" s="366"/>
    </row>
    <row r="492" spans="1:19" s="231" customFormat="1" ht="106.5" customHeight="1" x14ac:dyDescent="0.25">
      <c r="A492" s="397"/>
      <c r="B492" s="260" t="s">
        <v>19</v>
      </c>
      <c r="C492" s="178"/>
      <c r="D492" s="179"/>
      <c r="E492" s="179"/>
      <c r="F492" s="179"/>
      <c r="G492" s="179">
        <f t="shared" ref="G492:H494" si="628">G498+G528+G546+G516+G600</f>
        <v>33670.69</v>
      </c>
      <c r="H492" s="179">
        <f t="shared" si="628"/>
        <v>33670.69</v>
      </c>
      <c r="I492" s="179">
        <f t="shared" ref="I492" si="629">I498+I528+I546+I516+I600</f>
        <v>9530.36</v>
      </c>
      <c r="J492" s="218">
        <f>I492/H492</f>
        <v>0.28000000000000003</v>
      </c>
      <c r="K492" s="179">
        <f t="shared" ref="K492" si="630">K498+K528+K546+K516+K600</f>
        <v>9530.36</v>
      </c>
      <c r="L492" s="219">
        <f t="shared" ref="L492:L494" si="631">K492/H492</f>
        <v>0.28000000000000003</v>
      </c>
      <c r="M492" s="219">
        <f t="shared" si="624"/>
        <v>1</v>
      </c>
      <c r="N492" s="179">
        <f t="shared" ref="N492:O492" si="632">N498+N528+N546+N516+N600</f>
        <v>31080.91</v>
      </c>
      <c r="O492" s="179">
        <f t="shared" si="632"/>
        <v>2589.7800000000002</v>
      </c>
      <c r="P492" s="219">
        <f t="shared" si="592"/>
        <v>0.92</v>
      </c>
      <c r="Q492" s="179">
        <f t="shared" si="620"/>
        <v>24140.33</v>
      </c>
      <c r="R492" s="179">
        <f t="shared" si="621"/>
        <v>0</v>
      </c>
      <c r="S492" s="366"/>
    </row>
    <row r="493" spans="1:19" s="231" customFormat="1" ht="138.75" customHeight="1" x14ac:dyDescent="0.25">
      <c r="A493" s="397"/>
      <c r="B493" s="144" t="s">
        <v>22</v>
      </c>
      <c r="C493" s="145"/>
      <c r="D493" s="146"/>
      <c r="E493" s="146"/>
      <c r="F493" s="146"/>
      <c r="G493" s="355">
        <f t="shared" si="628"/>
        <v>0</v>
      </c>
      <c r="H493" s="355">
        <f t="shared" si="628"/>
        <v>0</v>
      </c>
      <c r="I493" s="355">
        <f t="shared" ref="I493" si="633">I499+I529+I547+I517+I601</f>
        <v>0</v>
      </c>
      <c r="J493" s="356" t="e">
        <f t="shared" ref="J493:J494" si="634">I493/H493</f>
        <v>#DIV/0!</v>
      </c>
      <c r="K493" s="355">
        <f t="shared" ref="K493" si="635">K499+K529+K547+K517+K601</f>
        <v>0</v>
      </c>
      <c r="L493" s="357" t="e">
        <f t="shared" si="631"/>
        <v>#DIV/0!</v>
      </c>
      <c r="M493" s="357" t="e">
        <f t="shared" si="624"/>
        <v>#DIV/0!</v>
      </c>
      <c r="N493" s="355">
        <f t="shared" ref="N493:O493" si="636">N499+N529+N547+N517+N601</f>
        <v>0</v>
      </c>
      <c r="O493" s="355">
        <f t="shared" si="636"/>
        <v>0</v>
      </c>
      <c r="P493" s="357" t="e">
        <f t="shared" si="592"/>
        <v>#DIV/0!</v>
      </c>
      <c r="Q493" s="179">
        <f t="shared" si="620"/>
        <v>0</v>
      </c>
      <c r="R493" s="179">
        <f t="shared" si="621"/>
        <v>0</v>
      </c>
      <c r="S493" s="366"/>
    </row>
    <row r="494" spans="1:19" s="231" customFormat="1" ht="74.25" customHeight="1" x14ac:dyDescent="0.25">
      <c r="A494" s="398"/>
      <c r="B494" s="177" t="s">
        <v>11</v>
      </c>
      <c r="C494" s="178"/>
      <c r="D494" s="179"/>
      <c r="E494" s="179"/>
      <c r="F494" s="179"/>
      <c r="G494" s="179">
        <f t="shared" si="628"/>
        <v>59531.61</v>
      </c>
      <c r="H494" s="179">
        <f t="shared" si="628"/>
        <v>59531.61</v>
      </c>
      <c r="I494" s="179">
        <f t="shared" ref="I494" si="637">I500+I530+I548+I518+I602</f>
        <v>131.46</v>
      </c>
      <c r="J494" s="249">
        <f t="shared" si="634"/>
        <v>2E-3</v>
      </c>
      <c r="K494" s="179">
        <f t="shared" ref="K494" si="638">K500+K530+K548+K518+K602</f>
        <v>131.46</v>
      </c>
      <c r="L494" s="216">
        <f t="shared" si="631"/>
        <v>2E-3</v>
      </c>
      <c r="M494" s="219">
        <f t="shared" si="624"/>
        <v>1</v>
      </c>
      <c r="N494" s="179">
        <f t="shared" ref="N494:O494" si="639">N500+N530+N548+N518+N602</f>
        <v>59531.61</v>
      </c>
      <c r="O494" s="179">
        <f t="shared" si="639"/>
        <v>0</v>
      </c>
      <c r="P494" s="219">
        <f t="shared" si="592"/>
        <v>1</v>
      </c>
      <c r="Q494" s="179">
        <f t="shared" si="620"/>
        <v>59400.15</v>
      </c>
      <c r="R494" s="179">
        <f t="shared" si="621"/>
        <v>0</v>
      </c>
      <c r="S494" s="367"/>
    </row>
    <row r="495" spans="1:19" s="265" customFormat="1" ht="69.75" x14ac:dyDescent="0.25">
      <c r="A495" s="261" t="s">
        <v>39</v>
      </c>
      <c r="B495" s="262" t="s">
        <v>75</v>
      </c>
      <c r="C495" s="154" t="s">
        <v>2</v>
      </c>
      <c r="D495" s="263">
        <f t="shared" ref="D495:G495" si="640">SUM(D496:D500)</f>
        <v>0</v>
      </c>
      <c r="E495" s="263">
        <f t="shared" si="640"/>
        <v>0</v>
      </c>
      <c r="F495" s="263">
        <f t="shared" si="640"/>
        <v>0</v>
      </c>
      <c r="G495" s="263">
        <f t="shared" si="640"/>
        <v>24497.98</v>
      </c>
      <c r="H495" s="263">
        <f t="shared" ref="H495:I495" si="641">SUM(H496:H500)</f>
        <v>24497.98</v>
      </c>
      <c r="I495" s="263">
        <f t="shared" si="641"/>
        <v>0</v>
      </c>
      <c r="J495" s="264">
        <f>I495/H495</f>
        <v>0</v>
      </c>
      <c r="K495" s="263">
        <f t="shared" ref="K495" si="642">SUM(K496:K500)</f>
        <v>0</v>
      </c>
      <c r="L495" s="222">
        <f>K495/H495</f>
        <v>0</v>
      </c>
      <c r="M495" s="54" t="e">
        <f t="shared" si="624"/>
        <v>#DIV/0!</v>
      </c>
      <c r="N495" s="263">
        <f t="shared" ref="N495:O495" si="643">SUM(N496:N500)</f>
        <v>24497.98</v>
      </c>
      <c r="O495" s="263">
        <f t="shared" si="643"/>
        <v>0</v>
      </c>
      <c r="P495" s="182">
        <f t="shared" si="592"/>
        <v>1</v>
      </c>
      <c r="Q495" s="263">
        <f t="shared" si="620"/>
        <v>24497.98</v>
      </c>
      <c r="R495" s="263">
        <f t="shared" si="621"/>
        <v>0</v>
      </c>
      <c r="S495" s="194"/>
    </row>
    <row r="496" spans="1:19" s="107" customFormat="1" ht="49.5" customHeight="1" x14ac:dyDescent="0.25">
      <c r="A496" s="266"/>
      <c r="B496" s="75" t="s">
        <v>10</v>
      </c>
      <c r="C496" s="75"/>
      <c r="D496" s="76"/>
      <c r="E496" s="76"/>
      <c r="F496" s="79"/>
      <c r="G496" s="76">
        <f>G502</f>
        <v>0</v>
      </c>
      <c r="H496" s="76">
        <f t="shared" ref="H496:I496" si="644">H502</f>
        <v>0</v>
      </c>
      <c r="I496" s="76">
        <f t="shared" si="644"/>
        <v>0</v>
      </c>
      <c r="J496" s="77"/>
      <c r="K496" s="76"/>
      <c r="L496" s="78"/>
      <c r="M496" s="54"/>
      <c r="N496" s="76">
        <f t="shared" ref="N496:O500" si="645">N502</f>
        <v>0</v>
      </c>
      <c r="O496" s="76">
        <f t="shared" si="645"/>
        <v>0</v>
      </c>
      <c r="P496" s="37" t="e">
        <f t="shared" si="592"/>
        <v>#DIV/0!</v>
      </c>
      <c r="Q496" s="76">
        <f t="shared" si="620"/>
        <v>0</v>
      </c>
      <c r="R496" s="76">
        <f t="shared" si="621"/>
        <v>0</v>
      </c>
      <c r="S496" s="194"/>
    </row>
    <row r="497" spans="1:19" s="107" customFormat="1" ht="49.5" customHeight="1" x14ac:dyDescent="0.25">
      <c r="A497" s="266"/>
      <c r="B497" s="75" t="s">
        <v>8</v>
      </c>
      <c r="C497" s="75"/>
      <c r="D497" s="76"/>
      <c r="E497" s="76"/>
      <c r="F497" s="76"/>
      <c r="G497" s="76">
        <f t="shared" ref="G497:I500" si="646">G503</f>
        <v>22664.5</v>
      </c>
      <c r="H497" s="76">
        <f t="shared" si="646"/>
        <v>22664.5</v>
      </c>
      <c r="I497" s="76">
        <f t="shared" si="646"/>
        <v>0</v>
      </c>
      <c r="J497" s="77">
        <f t="shared" ref="J497" si="647">I497/H497</f>
        <v>0</v>
      </c>
      <c r="K497" s="76">
        <f t="shared" ref="K497:K500" si="648">K503</f>
        <v>0</v>
      </c>
      <c r="L497" s="78">
        <f t="shared" ref="L497:L510" si="649">K497/H497</f>
        <v>0</v>
      </c>
      <c r="M497" s="39" t="e">
        <f t="shared" si="624"/>
        <v>#DIV/0!</v>
      </c>
      <c r="N497" s="76">
        <f t="shared" si="645"/>
        <v>22664.5</v>
      </c>
      <c r="O497" s="76">
        <f t="shared" si="645"/>
        <v>0</v>
      </c>
      <c r="P497" s="84">
        <f t="shared" si="592"/>
        <v>1</v>
      </c>
      <c r="Q497" s="76">
        <f t="shared" si="620"/>
        <v>22664.5</v>
      </c>
      <c r="R497" s="76">
        <f t="shared" si="621"/>
        <v>0</v>
      </c>
      <c r="S497" s="194"/>
    </row>
    <row r="498" spans="1:19" s="107" customFormat="1" ht="49.5" customHeight="1" x14ac:dyDescent="0.25">
      <c r="A498" s="266"/>
      <c r="B498" s="75" t="s">
        <v>20</v>
      </c>
      <c r="C498" s="75"/>
      <c r="D498" s="76"/>
      <c r="E498" s="76"/>
      <c r="F498" s="76"/>
      <c r="G498" s="76">
        <f t="shared" si="646"/>
        <v>1192.8699999999999</v>
      </c>
      <c r="H498" s="76">
        <f t="shared" si="646"/>
        <v>1192.8699999999999</v>
      </c>
      <c r="I498" s="76">
        <f t="shared" si="646"/>
        <v>0</v>
      </c>
      <c r="J498" s="77">
        <f>I498/H498</f>
        <v>0</v>
      </c>
      <c r="K498" s="76">
        <f t="shared" si="648"/>
        <v>0</v>
      </c>
      <c r="L498" s="184">
        <f t="shared" si="649"/>
        <v>0</v>
      </c>
      <c r="M498" s="39" t="e">
        <f t="shared" si="624"/>
        <v>#DIV/0!</v>
      </c>
      <c r="N498" s="76">
        <f t="shared" si="645"/>
        <v>1192.8699999999999</v>
      </c>
      <c r="O498" s="76">
        <f t="shared" si="645"/>
        <v>0</v>
      </c>
      <c r="P498" s="84">
        <f t="shared" si="592"/>
        <v>1</v>
      </c>
      <c r="Q498" s="76">
        <f t="shared" si="620"/>
        <v>1192.8699999999999</v>
      </c>
      <c r="R498" s="76">
        <f t="shared" si="621"/>
        <v>0</v>
      </c>
      <c r="S498" s="194"/>
    </row>
    <row r="499" spans="1:19" s="107" customFormat="1" ht="49.5" customHeight="1" x14ac:dyDescent="0.25">
      <c r="A499" s="266"/>
      <c r="B499" s="75" t="s">
        <v>22</v>
      </c>
      <c r="C499" s="75"/>
      <c r="D499" s="76"/>
      <c r="E499" s="76"/>
      <c r="F499" s="79"/>
      <c r="G499" s="76">
        <f t="shared" si="646"/>
        <v>0</v>
      </c>
      <c r="H499" s="76">
        <f t="shared" si="646"/>
        <v>0</v>
      </c>
      <c r="I499" s="76">
        <f t="shared" si="646"/>
        <v>0</v>
      </c>
      <c r="J499" s="77"/>
      <c r="K499" s="76"/>
      <c r="L499" s="78"/>
      <c r="M499" s="39"/>
      <c r="N499" s="76">
        <f t="shared" si="645"/>
        <v>0</v>
      </c>
      <c r="O499" s="76">
        <f t="shared" si="645"/>
        <v>0</v>
      </c>
      <c r="P499" s="37" t="e">
        <f t="shared" si="592"/>
        <v>#DIV/0!</v>
      </c>
      <c r="Q499" s="76">
        <f t="shared" si="620"/>
        <v>0</v>
      </c>
      <c r="R499" s="76">
        <f t="shared" si="621"/>
        <v>0</v>
      </c>
      <c r="S499" s="194"/>
    </row>
    <row r="500" spans="1:19" s="107" customFormat="1" ht="119.25" customHeight="1" x14ac:dyDescent="0.25">
      <c r="A500" s="267"/>
      <c r="B500" s="80" t="s">
        <v>11</v>
      </c>
      <c r="C500" s="80"/>
      <c r="D500" s="81"/>
      <c r="E500" s="81"/>
      <c r="F500" s="82"/>
      <c r="G500" s="81">
        <f>G506</f>
        <v>640.61</v>
      </c>
      <c r="H500" s="81">
        <f t="shared" si="646"/>
        <v>640.61</v>
      </c>
      <c r="I500" s="81">
        <f t="shared" si="646"/>
        <v>0</v>
      </c>
      <c r="J500" s="83">
        <f t="shared" ref="J500" si="650">I500/H500</f>
        <v>0</v>
      </c>
      <c r="K500" s="81">
        <f t="shared" si="648"/>
        <v>0</v>
      </c>
      <c r="L500" s="84">
        <f t="shared" si="649"/>
        <v>0</v>
      </c>
      <c r="M500" s="44" t="e">
        <f t="shared" si="624"/>
        <v>#DIV/0!</v>
      </c>
      <c r="N500" s="81">
        <f t="shared" si="645"/>
        <v>640.61</v>
      </c>
      <c r="O500" s="81">
        <f t="shared" si="645"/>
        <v>0</v>
      </c>
      <c r="P500" s="84">
        <f t="shared" si="592"/>
        <v>1</v>
      </c>
      <c r="Q500" s="81">
        <f t="shared" si="620"/>
        <v>640.61</v>
      </c>
      <c r="R500" s="81">
        <f t="shared" si="621"/>
        <v>0</v>
      </c>
      <c r="S500" s="195"/>
    </row>
    <row r="501" spans="1:19" s="245" customFormat="1" ht="69.75" x14ac:dyDescent="0.25">
      <c r="A501" s="256" t="s">
        <v>40</v>
      </c>
      <c r="B501" s="268" t="s">
        <v>346</v>
      </c>
      <c r="C501" s="69" t="s">
        <v>17</v>
      </c>
      <c r="D501" s="70">
        <f t="shared" ref="D501:I501" si="651">SUM(D502:D506)</f>
        <v>0</v>
      </c>
      <c r="E501" s="70">
        <f t="shared" si="651"/>
        <v>0</v>
      </c>
      <c r="F501" s="70">
        <f t="shared" si="651"/>
        <v>0</v>
      </c>
      <c r="G501" s="70">
        <f t="shared" si="651"/>
        <v>24497.98</v>
      </c>
      <c r="H501" s="70">
        <f t="shared" si="651"/>
        <v>24497.98</v>
      </c>
      <c r="I501" s="70">
        <f t="shared" si="651"/>
        <v>0</v>
      </c>
      <c r="J501" s="72">
        <f>I501/H501</f>
        <v>0</v>
      </c>
      <c r="K501" s="70">
        <f t="shared" ref="K501" si="652">SUM(K502:K506)</f>
        <v>0</v>
      </c>
      <c r="L501" s="189">
        <f t="shared" si="649"/>
        <v>0</v>
      </c>
      <c r="M501" s="56" t="e">
        <f t="shared" si="624"/>
        <v>#DIV/0!</v>
      </c>
      <c r="N501" s="70">
        <f t="shared" ref="N501:O501" si="653">SUM(N502:N506)</f>
        <v>24497.98</v>
      </c>
      <c r="O501" s="70">
        <f t="shared" si="653"/>
        <v>0</v>
      </c>
      <c r="P501" s="73">
        <f t="shared" si="592"/>
        <v>1</v>
      </c>
      <c r="Q501" s="70">
        <f t="shared" si="620"/>
        <v>24497.98</v>
      </c>
      <c r="R501" s="70">
        <f t="shared" si="621"/>
        <v>0</v>
      </c>
      <c r="S501" s="372" t="s">
        <v>449</v>
      </c>
    </row>
    <row r="502" spans="1:19" s="107" customFormat="1" ht="78" customHeight="1" x14ac:dyDescent="0.25">
      <c r="A502" s="266"/>
      <c r="B502" s="75" t="s">
        <v>10</v>
      </c>
      <c r="C502" s="75"/>
      <c r="D502" s="76"/>
      <c r="E502" s="76"/>
      <c r="F502" s="79"/>
      <c r="G502" s="76">
        <f>G508</f>
        <v>0</v>
      </c>
      <c r="H502" s="76">
        <f t="shared" ref="H502:I502" si="654">H508</f>
        <v>0</v>
      </c>
      <c r="I502" s="76">
        <f t="shared" si="654"/>
        <v>0</v>
      </c>
      <c r="J502" s="77"/>
      <c r="K502" s="76"/>
      <c r="L502" s="78"/>
      <c r="M502" s="39"/>
      <c r="N502" s="76">
        <f t="shared" ref="N502:P506" si="655">N508</f>
        <v>0</v>
      </c>
      <c r="O502" s="76">
        <f t="shared" si="655"/>
        <v>0</v>
      </c>
      <c r="P502" s="44" t="e">
        <f t="shared" si="655"/>
        <v>#DIV/0!</v>
      </c>
      <c r="Q502" s="76">
        <f t="shared" si="620"/>
        <v>0</v>
      </c>
      <c r="R502" s="76">
        <f t="shared" si="621"/>
        <v>0</v>
      </c>
      <c r="S502" s="373"/>
    </row>
    <row r="503" spans="1:19" s="107" customFormat="1" ht="81.75" customHeight="1" x14ac:dyDescent="0.25">
      <c r="A503" s="266"/>
      <c r="B503" s="75" t="s">
        <v>8</v>
      </c>
      <c r="C503" s="75"/>
      <c r="D503" s="76"/>
      <c r="E503" s="76"/>
      <c r="F503" s="76"/>
      <c r="G503" s="76">
        <f t="shared" ref="G503:I506" si="656">G509</f>
        <v>22664.5</v>
      </c>
      <c r="H503" s="76">
        <f t="shared" si="656"/>
        <v>22664.5</v>
      </c>
      <c r="I503" s="76">
        <f t="shared" si="656"/>
        <v>0</v>
      </c>
      <c r="J503" s="77">
        <f t="shared" ref="J503:J504" si="657">I503/H503</f>
        <v>0</v>
      </c>
      <c r="K503" s="76">
        <f t="shared" ref="K503:K504" si="658">K509</f>
        <v>0</v>
      </c>
      <c r="L503" s="78">
        <f t="shared" si="649"/>
        <v>0</v>
      </c>
      <c r="M503" s="39" t="e">
        <f t="shared" si="624"/>
        <v>#DIV/0!</v>
      </c>
      <c r="N503" s="76">
        <f t="shared" si="655"/>
        <v>22664.5</v>
      </c>
      <c r="O503" s="76">
        <f t="shared" si="655"/>
        <v>0</v>
      </c>
      <c r="P503" s="84">
        <f t="shared" si="655"/>
        <v>1</v>
      </c>
      <c r="Q503" s="76">
        <f t="shared" si="620"/>
        <v>22664.5</v>
      </c>
      <c r="R503" s="76">
        <f t="shared" si="621"/>
        <v>0</v>
      </c>
      <c r="S503" s="373"/>
    </row>
    <row r="504" spans="1:19" s="107" customFormat="1" ht="64.5" customHeight="1" x14ac:dyDescent="0.25">
      <c r="A504" s="266"/>
      <c r="B504" s="75" t="s">
        <v>20</v>
      </c>
      <c r="C504" s="75"/>
      <c r="D504" s="76"/>
      <c r="E504" s="76"/>
      <c r="F504" s="76"/>
      <c r="G504" s="76">
        <f t="shared" si="656"/>
        <v>1192.8699999999999</v>
      </c>
      <c r="H504" s="76">
        <f t="shared" si="656"/>
        <v>1192.8699999999999</v>
      </c>
      <c r="I504" s="76">
        <f t="shared" si="656"/>
        <v>0</v>
      </c>
      <c r="J504" s="77">
        <f t="shared" si="657"/>
        <v>0</v>
      </c>
      <c r="K504" s="76">
        <f t="shared" si="658"/>
        <v>0</v>
      </c>
      <c r="L504" s="184">
        <f t="shared" si="649"/>
        <v>0</v>
      </c>
      <c r="M504" s="39" t="e">
        <f t="shared" si="624"/>
        <v>#DIV/0!</v>
      </c>
      <c r="N504" s="76">
        <f t="shared" si="655"/>
        <v>1192.8699999999999</v>
      </c>
      <c r="O504" s="76">
        <f t="shared" si="655"/>
        <v>0</v>
      </c>
      <c r="P504" s="84">
        <f t="shared" si="655"/>
        <v>1</v>
      </c>
      <c r="Q504" s="76">
        <f t="shared" si="620"/>
        <v>1192.8699999999999</v>
      </c>
      <c r="R504" s="76">
        <f t="shared" si="621"/>
        <v>0</v>
      </c>
      <c r="S504" s="373"/>
    </row>
    <row r="505" spans="1:19" s="107" customFormat="1" ht="72" customHeight="1" x14ac:dyDescent="0.25">
      <c r="A505" s="266"/>
      <c r="B505" s="75" t="s">
        <v>22</v>
      </c>
      <c r="C505" s="75"/>
      <c r="D505" s="76"/>
      <c r="E505" s="76"/>
      <c r="F505" s="79"/>
      <c r="G505" s="76">
        <f t="shared" si="656"/>
        <v>0</v>
      </c>
      <c r="H505" s="76">
        <f t="shared" si="656"/>
        <v>0</v>
      </c>
      <c r="I505" s="76">
        <f t="shared" si="656"/>
        <v>0</v>
      </c>
      <c r="J505" s="77"/>
      <c r="K505" s="76"/>
      <c r="L505" s="78"/>
      <c r="M505" s="78"/>
      <c r="N505" s="76">
        <f t="shared" si="655"/>
        <v>0</v>
      </c>
      <c r="O505" s="76">
        <f t="shared" si="655"/>
        <v>0</v>
      </c>
      <c r="P505" s="44" t="e">
        <f t="shared" si="655"/>
        <v>#DIV/0!</v>
      </c>
      <c r="Q505" s="76">
        <f t="shared" si="620"/>
        <v>0</v>
      </c>
      <c r="R505" s="76">
        <f t="shared" si="621"/>
        <v>0</v>
      </c>
      <c r="S505" s="373"/>
    </row>
    <row r="506" spans="1:19" s="107" customFormat="1" ht="102" customHeight="1" x14ac:dyDescent="0.25">
      <c r="A506" s="267"/>
      <c r="B506" s="75" t="s">
        <v>11</v>
      </c>
      <c r="C506" s="75"/>
      <c r="D506" s="76"/>
      <c r="E506" s="76"/>
      <c r="F506" s="79"/>
      <c r="G506" s="76">
        <v>640.61</v>
      </c>
      <c r="H506" s="76">
        <v>640.61</v>
      </c>
      <c r="I506" s="76">
        <f t="shared" si="656"/>
        <v>0</v>
      </c>
      <c r="J506" s="77"/>
      <c r="K506" s="76"/>
      <c r="L506" s="78"/>
      <c r="M506" s="78"/>
      <c r="N506" s="76">
        <v>640.61</v>
      </c>
      <c r="O506" s="76">
        <f t="shared" si="655"/>
        <v>0</v>
      </c>
      <c r="P506" s="84">
        <f t="shared" si="655"/>
        <v>1</v>
      </c>
      <c r="Q506" s="76">
        <f t="shared" si="620"/>
        <v>640.61</v>
      </c>
      <c r="R506" s="76">
        <f t="shared" si="621"/>
        <v>0</v>
      </c>
      <c r="S506" s="374"/>
    </row>
    <row r="507" spans="1:19" s="239" customFormat="1" ht="46.5" x14ac:dyDescent="0.25">
      <c r="A507" s="269" t="s">
        <v>138</v>
      </c>
      <c r="B507" s="270" t="s">
        <v>385</v>
      </c>
      <c r="C507" s="75" t="s">
        <v>17</v>
      </c>
      <c r="D507" s="76">
        <f t="shared" ref="D507:I507" si="659">SUM(D508:D512)</f>
        <v>0</v>
      </c>
      <c r="E507" s="76">
        <f t="shared" si="659"/>
        <v>0</v>
      </c>
      <c r="F507" s="76">
        <f t="shared" si="659"/>
        <v>0</v>
      </c>
      <c r="G507" s="76">
        <f t="shared" si="659"/>
        <v>24497.98</v>
      </c>
      <c r="H507" s="76">
        <f t="shared" si="659"/>
        <v>24497.98</v>
      </c>
      <c r="I507" s="161">
        <f t="shared" si="659"/>
        <v>0</v>
      </c>
      <c r="J507" s="77">
        <f>I507/H507</f>
        <v>0</v>
      </c>
      <c r="K507" s="76">
        <f>SUM(K508:K512)</f>
        <v>0</v>
      </c>
      <c r="L507" s="184">
        <f t="shared" si="649"/>
        <v>0</v>
      </c>
      <c r="M507" s="39" t="e">
        <f t="shared" si="624"/>
        <v>#DIV/0!</v>
      </c>
      <c r="N507" s="76">
        <f>SUM(N508:N512)</f>
        <v>24497.98</v>
      </c>
      <c r="O507" s="76">
        <f t="shared" ref="O507:O512" si="660">H507-N507</f>
        <v>0</v>
      </c>
      <c r="P507" s="78">
        <f t="shared" si="592"/>
        <v>1</v>
      </c>
      <c r="Q507" s="76">
        <f t="shared" si="620"/>
        <v>24497.98</v>
      </c>
      <c r="R507" s="76">
        <f t="shared" si="621"/>
        <v>0</v>
      </c>
      <c r="S507" s="372" t="s">
        <v>371</v>
      </c>
    </row>
    <row r="508" spans="1:19" s="107" customFormat="1" ht="42" customHeight="1" x14ac:dyDescent="0.25">
      <c r="A508" s="266"/>
      <c r="B508" s="75" t="s">
        <v>10</v>
      </c>
      <c r="C508" s="75"/>
      <c r="D508" s="76"/>
      <c r="E508" s="76"/>
      <c r="F508" s="79"/>
      <c r="G508" s="76"/>
      <c r="H508" s="79"/>
      <c r="I508" s="161"/>
      <c r="J508" s="77"/>
      <c r="K508" s="76"/>
      <c r="L508" s="78"/>
      <c r="M508" s="39"/>
      <c r="N508" s="76"/>
      <c r="O508" s="79">
        <f t="shared" si="660"/>
        <v>0</v>
      </c>
      <c r="P508" s="39" t="e">
        <f t="shared" si="592"/>
        <v>#DIV/0!</v>
      </c>
      <c r="Q508" s="76">
        <f t="shared" si="620"/>
        <v>0</v>
      </c>
      <c r="R508" s="79">
        <f t="shared" si="621"/>
        <v>0</v>
      </c>
      <c r="S508" s="373"/>
    </row>
    <row r="509" spans="1:19" s="107" customFormat="1" ht="42" customHeight="1" x14ac:dyDescent="0.25">
      <c r="A509" s="266"/>
      <c r="B509" s="75" t="s">
        <v>8</v>
      </c>
      <c r="C509" s="75"/>
      <c r="D509" s="76"/>
      <c r="E509" s="76"/>
      <c r="F509" s="76"/>
      <c r="G509" s="76">
        <v>22664.5</v>
      </c>
      <c r="H509" s="76">
        <v>22664.5</v>
      </c>
      <c r="I509" s="76"/>
      <c r="J509" s="77">
        <f t="shared" ref="J509:J510" si="661">I509/H509</f>
        <v>0</v>
      </c>
      <c r="K509" s="76">
        <f>I509</f>
        <v>0</v>
      </c>
      <c r="L509" s="78">
        <f t="shared" si="649"/>
        <v>0</v>
      </c>
      <c r="M509" s="39" t="e">
        <f t="shared" si="624"/>
        <v>#DIV/0!</v>
      </c>
      <c r="N509" s="76">
        <f>H509</f>
        <v>22664.5</v>
      </c>
      <c r="O509" s="76">
        <f t="shared" si="660"/>
        <v>0</v>
      </c>
      <c r="P509" s="78">
        <f t="shared" si="592"/>
        <v>1</v>
      </c>
      <c r="Q509" s="76">
        <f t="shared" si="620"/>
        <v>22664.5</v>
      </c>
      <c r="R509" s="76">
        <f t="shared" si="621"/>
        <v>0</v>
      </c>
      <c r="S509" s="373"/>
    </row>
    <row r="510" spans="1:19" s="107" customFormat="1" ht="42" customHeight="1" x14ac:dyDescent="0.25">
      <c r="A510" s="266"/>
      <c r="B510" s="75" t="s">
        <v>20</v>
      </c>
      <c r="C510" s="75"/>
      <c r="D510" s="76"/>
      <c r="E510" s="76"/>
      <c r="F510" s="76"/>
      <c r="G510" s="76">
        <v>1192.8699999999999</v>
      </c>
      <c r="H510" s="76">
        <v>1192.8699999999999</v>
      </c>
      <c r="I510" s="76"/>
      <c r="J510" s="77">
        <f t="shared" si="661"/>
        <v>0</v>
      </c>
      <c r="K510" s="76">
        <f>I510</f>
        <v>0</v>
      </c>
      <c r="L510" s="184">
        <f t="shared" si="649"/>
        <v>0</v>
      </c>
      <c r="M510" s="39" t="e">
        <f t="shared" si="624"/>
        <v>#DIV/0!</v>
      </c>
      <c r="N510" s="76">
        <f t="shared" ref="N510:N512" si="662">H510</f>
        <v>1192.8699999999999</v>
      </c>
      <c r="O510" s="76">
        <f t="shared" si="660"/>
        <v>0</v>
      </c>
      <c r="P510" s="78">
        <f t="shared" si="592"/>
        <v>1</v>
      </c>
      <c r="Q510" s="76">
        <f t="shared" si="620"/>
        <v>1192.8699999999999</v>
      </c>
      <c r="R510" s="76">
        <f t="shared" si="621"/>
        <v>0</v>
      </c>
      <c r="S510" s="373"/>
    </row>
    <row r="511" spans="1:19" s="107" customFormat="1" ht="42" customHeight="1" x14ac:dyDescent="0.25">
      <c r="A511" s="266"/>
      <c r="B511" s="75" t="s">
        <v>22</v>
      </c>
      <c r="C511" s="75"/>
      <c r="D511" s="76"/>
      <c r="E511" s="76"/>
      <c r="F511" s="79"/>
      <c r="G511" s="76"/>
      <c r="H511" s="76"/>
      <c r="I511" s="161"/>
      <c r="J511" s="77"/>
      <c r="K511" s="161"/>
      <c r="L511" s="78"/>
      <c r="M511" s="39"/>
      <c r="N511" s="76">
        <f t="shared" si="662"/>
        <v>0</v>
      </c>
      <c r="O511" s="76">
        <f t="shared" si="660"/>
        <v>0</v>
      </c>
      <c r="P511" s="39" t="e">
        <f t="shared" si="592"/>
        <v>#DIV/0!</v>
      </c>
      <c r="Q511" s="76">
        <f t="shared" si="620"/>
        <v>0</v>
      </c>
      <c r="R511" s="76">
        <f t="shared" si="621"/>
        <v>0</v>
      </c>
      <c r="S511" s="373"/>
    </row>
    <row r="512" spans="1:19" s="107" customFormat="1" ht="42" customHeight="1" x14ac:dyDescent="0.25">
      <c r="A512" s="267"/>
      <c r="B512" s="75" t="s">
        <v>11</v>
      </c>
      <c r="C512" s="75"/>
      <c r="D512" s="76"/>
      <c r="E512" s="76"/>
      <c r="F512" s="79"/>
      <c r="G512" s="76">
        <v>640.61</v>
      </c>
      <c r="H512" s="76">
        <v>640.61</v>
      </c>
      <c r="I512" s="161"/>
      <c r="J512" s="77"/>
      <c r="K512" s="76"/>
      <c r="L512" s="78"/>
      <c r="M512" s="39"/>
      <c r="N512" s="76">
        <f t="shared" si="662"/>
        <v>640.61</v>
      </c>
      <c r="O512" s="76">
        <f t="shared" si="660"/>
        <v>0</v>
      </c>
      <c r="P512" s="78">
        <f t="shared" si="592"/>
        <v>1</v>
      </c>
      <c r="Q512" s="76">
        <f t="shared" si="620"/>
        <v>640.61</v>
      </c>
      <c r="R512" s="76">
        <f t="shared" si="621"/>
        <v>0</v>
      </c>
      <c r="S512" s="374"/>
    </row>
    <row r="513" spans="1:19" s="245" customFormat="1" ht="83.25" customHeight="1" x14ac:dyDescent="0.25">
      <c r="A513" s="253" t="s">
        <v>139</v>
      </c>
      <c r="B513" s="154" t="s">
        <v>208</v>
      </c>
      <c r="C513" s="154" t="s">
        <v>2</v>
      </c>
      <c r="D513" s="155">
        <f t="shared" ref="D513:I513" si="663">SUM(D514:D518)</f>
        <v>0</v>
      </c>
      <c r="E513" s="155">
        <f t="shared" si="663"/>
        <v>0</v>
      </c>
      <c r="F513" s="155">
        <f t="shared" si="663"/>
        <v>0</v>
      </c>
      <c r="G513" s="155">
        <f t="shared" si="663"/>
        <v>7044.04</v>
      </c>
      <c r="H513" s="155">
        <f t="shared" si="663"/>
        <v>10167.94</v>
      </c>
      <c r="I513" s="155">
        <f t="shared" si="663"/>
        <v>0</v>
      </c>
      <c r="J513" s="156">
        <f>I513/H513</f>
        <v>0</v>
      </c>
      <c r="K513" s="155">
        <f t="shared" ref="K513" si="664">SUM(K514:K518)</f>
        <v>0</v>
      </c>
      <c r="L513" s="182">
        <f t="shared" ref="L513:L573" si="665">K513/H513</f>
        <v>0</v>
      </c>
      <c r="M513" s="54" t="e">
        <f t="shared" ref="M513:M555" si="666">K513/I513</f>
        <v>#DIV/0!</v>
      </c>
      <c r="N513" s="155">
        <f t="shared" ref="N513:O513" si="667">SUM(N514:N518)</f>
        <v>10167.94</v>
      </c>
      <c r="O513" s="155">
        <f t="shared" si="667"/>
        <v>0</v>
      </c>
      <c r="P513" s="182">
        <f t="shared" si="592"/>
        <v>1</v>
      </c>
      <c r="Q513" s="155">
        <f t="shared" si="620"/>
        <v>10167.94</v>
      </c>
      <c r="R513" s="155">
        <f t="shared" si="621"/>
        <v>0</v>
      </c>
      <c r="S513" s="372" t="s">
        <v>490</v>
      </c>
    </row>
    <row r="514" spans="1:19" s="107" customFormat="1" ht="37.5" customHeight="1" x14ac:dyDescent="0.25">
      <c r="A514" s="266"/>
      <c r="B514" s="75" t="s">
        <v>10</v>
      </c>
      <c r="C514" s="75"/>
      <c r="D514" s="76"/>
      <c r="E514" s="76"/>
      <c r="F514" s="79"/>
      <c r="G514" s="76">
        <f>G520</f>
        <v>0</v>
      </c>
      <c r="H514" s="76">
        <f t="shared" ref="H514:I514" si="668">H520</f>
        <v>0</v>
      </c>
      <c r="I514" s="76">
        <f t="shared" si="668"/>
        <v>0</v>
      </c>
      <c r="J514" s="77"/>
      <c r="K514" s="76"/>
      <c r="L514" s="78"/>
      <c r="M514" s="39"/>
      <c r="N514" s="76">
        <f t="shared" ref="N514:O518" si="669">N520</f>
        <v>0</v>
      </c>
      <c r="O514" s="76">
        <f t="shared" si="669"/>
        <v>0</v>
      </c>
      <c r="P514" s="39" t="e">
        <f t="shared" si="592"/>
        <v>#DIV/0!</v>
      </c>
      <c r="Q514" s="76">
        <f t="shared" si="620"/>
        <v>0</v>
      </c>
      <c r="R514" s="76">
        <f t="shared" si="621"/>
        <v>0</v>
      </c>
      <c r="S514" s="373"/>
    </row>
    <row r="515" spans="1:19" s="107" customFormat="1" ht="37.5" customHeight="1" x14ac:dyDescent="0.25">
      <c r="A515" s="266"/>
      <c r="B515" s="75" t="s">
        <v>8</v>
      </c>
      <c r="C515" s="75"/>
      <c r="D515" s="76"/>
      <c r="E515" s="76"/>
      <c r="F515" s="76"/>
      <c r="G515" s="76">
        <f t="shared" ref="G515:I518" si="670">G521</f>
        <v>6973.6</v>
      </c>
      <c r="H515" s="76">
        <f t="shared" si="670"/>
        <v>10097.5</v>
      </c>
      <c r="I515" s="76">
        <f t="shared" si="670"/>
        <v>0</v>
      </c>
      <c r="J515" s="77">
        <f t="shared" ref="J515:J516" si="671">I515/H515</f>
        <v>0</v>
      </c>
      <c r="K515" s="76">
        <f t="shared" ref="K515:K516" si="672">K521</f>
        <v>0</v>
      </c>
      <c r="L515" s="78">
        <f t="shared" si="665"/>
        <v>0</v>
      </c>
      <c r="M515" s="39" t="e">
        <f t="shared" si="666"/>
        <v>#DIV/0!</v>
      </c>
      <c r="N515" s="76">
        <f t="shared" si="669"/>
        <v>10097.5</v>
      </c>
      <c r="O515" s="76">
        <f t="shared" si="669"/>
        <v>0</v>
      </c>
      <c r="P515" s="78">
        <f t="shared" si="592"/>
        <v>1</v>
      </c>
      <c r="Q515" s="76">
        <f t="shared" si="620"/>
        <v>10097.5</v>
      </c>
      <c r="R515" s="76">
        <f t="shared" si="621"/>
        <v>0</v>
      </c>
      <c r="S515" s="373"/>
    </row>
    <row r="516" spans="1:19" s="107" customFormat="1" ht="37.5" customHeight="1" x14ac:dyDescent="0.25">
      <c r="A516" s="266"/>
      <c r="B516" s="75" t="s">
        <v>20</v>
      </c>
      <c r="C516" s="75"/>
      <c r="D516" s="76"/>
      <c r="E516" s="76"/>
      <c r="F516" s="76"/>
      <c r="G516" s="76">
        <f t="shared" si="670"/>
        <v>70.44</v>
      </c>
      <c r="H516" s="76">
        <f t="shared" si="670"/>
        <v>70.44</v>
      </c>
      <c r="I516" s="76">
        <f t="shared" si="670"/>
        <v>0</v>
      </c>
      <c r="J516" s="77">
        <f t="shared" si="671"/>
        <v>0</v>
      </c>
      <c r="K516" s="76">
        <f t="shared" si="672"/>
        <v>0</v>
      </c>
      <c r="L516" s="78">
        <f t="shared" si="665"/>
        <v>0</v>
      </c>
      <c r="M516" s="39" t="e">
        <f t="shared" si="666"/>
        <v>#DIV/0!</v>
      </c>
      <c r="N516" s="76">
        <f t="shared" si="669"/>
        <v>70.44</v>
      </c>
      <c r="O516" s="76">
        <f t="shared" si="669"/>
        <v>0</v>
      </c>
      <c r="P516" s="78">
        <f t="shared" si="592"/>
        <v>1</v>
      </c>
      <c r="Q516" s="76">
        <f t="shared" si="620"/>
        <v>70.44</v>
      </c>
      <c r="R516" s="76">
        <f t="shared" si="621"/>
        <v>0</v>
      </c>
      <c r="S516" s="373"/>
    </row>
    <row r="517" spans="1:19" s="107" customFormat="1" ht="37.5" customHeight="1" x14ac:dyDescent="0.25">
      <c r="A517" s="266"/>
      <c r="B517" s="75" t="s">
        <v>22</v>
      </c>
      <c r="C517" s="75"/>
      <c r="D517" s="76"/>
      <c r="E517" s="76"/>
      <c r="F517" s="79"/>
      <c r="G517" s="76">
        <f t="shared" si="670"/>
        <v>0</v>
      </c>
      <c r="H517" s="76">
        <f t="shared" si="670"/>
        <v>0</v>
      </c>
      <c r="I517" s="76">
        <f t="shared" si="670"/>
        <v>0</v>
      </c>
      <c r="J517" s="77"/>
      <c r="K517" s="76"/>
      <c r="L517" s="78"/>
      <c r="M517" s="78"/>
      <c r="N517" s="76">
        <f t="shared" si="669"/>
        <v>0</v>
      </c>
      <c r="O517" s="76">
        <f t="shared" si="669"/>
        <v>0</v>
      </c>
      <c r="P517" s="38" t="e">
        <f t="shared" si="592"/>
        <v>#DIV/0!</v>
      </c>
      <c r="Q517" s="76">
        <f t="shared" si="620"/>
        <v>0</v>
      </c>
      <c r="R517" s="76">
        <f t="shared" si="621"/>
        <v>0</v>
      </c>
      <c r="S517" s="373"/>
    </row>
    <row r="518" spans="1:19" s="107" customFormat="1" ht="37.5" customHeight="1" x14ac:dyDescent="0.25">
      <c r="A518" s="267"/>
      <c r="B518" s="80" t="s">
        <v>11</v>
      </c>
      <c r="C518" s="80"/>
      <c r="D518" s="81"/>
      <c r="E518" s="81"/>
      <c r="F518" s="82"/>
      <c r="G518" s="81">
        <f t="shared" si="670"/>
        <v>0</v>
      </c>
      <c r="H518" s="81">
        <f t="shared" si="670"/>
        <v>0</v>
      </c>
      <c r="I518" s="81">
        <f t="shared" si="670"/>
        <v>0</v>
      </c>
      <c r="J518" s="83"/>
      <c r="K518" s="81"/>
      <c r="L518" s="84"/>
      <c r="M518" s="84"/>
      <c r="N518" s="81">
        <f t="shared" si="669"/>
        <v>0</v>
      </c>
      <c r="O518" s="81">
        <f t="shared" si="669"/>
        <v>0</v>
      </c>
      <c r="P518" s="43" t="e">
        <f t="shared" si="592"/>
        <v>#DIV/0!</v>
      </c>
      <c r="Q518" s="81">
        <f t="shared" si="620"/>
        <v>0</v>
      </c>
      <c r="R518" s="81">
        <f t="shared" si="621"/>
        <v>0</v>
      </c>
      <c r="S518" s="374"/>
    </row>
    <row r="519" spans="1:19" s="239" customFormat="1" ht="331.5" customHeight="1" x14ac:dyDescent="0.25">
      <c r="A519" s="256" t="s">
        <v>140</v>
      </c>
      <c r="B519" s="69" t="s">
        <v>242</v>
      </c>
      <c r="C519" s="69" t="s">
        <v>17</v>
      </c>
      <c r="D519" s="70">
        <f t="shared" ref="D519:I519" si="673">SUM(D520:D524)</f>
        <v>0</v>
      </c>
      <c r="E519" s="70">
        <f t="shared" si="673"/>
        <v>0</v>
      </c>
      <c r="F519" s="70">
        <f t="shared" si="673"/>
        <v>0</v>
      </c>
      <c r="G519" s="70">
        <f t="shared" si="673"/>
        <v>7044.04</v>
      </c>
      <c r="H519" s="70">
        <f>SUM(H520:H524)</f>
        <v>10167.94</v>
      </c>
      <c r="I519" s="70">
        <f t="shared" si="673"/>
        <v>0</v>
      </c>
      <c r="J519" s="72">
        <f>I519/H519</f>
        <v>0</v>
      </c>
      <c r="K519" s="70">
        <f>SUM(K520:K524)</f>
        <v>0</v>
      </c>
      <c r="L519" s="73">
        <f t="shared" si="665"/>
        <v>0</v>
      </c>
      <c r="M519" s="56" t="e">
        <f t="shared" si="666"/>
        <v>#DIV/0!</v>
      </c>
      <c r="N519" s="70">
        <f>SUM(N520:N524)</f>
        <v>10167.94</v>
      </c>
      <c r="O519" s="70">
        <f t="shared" ref="O519:O524" si="674">H519-N519</f>
        <v>0</v>
      </c>
      <c r="P519" s="73">
        <f t="shared" si="592"/>
        <v>1</v>
      </c>
      <c r="Q519" s="70">
        <f t="shared" si="620"/>
        <v>10167.94</v>
      </c>
      <c r="R519" s="70">
        <f t="shared" si="621"/>
        <v>0</v>
      </c>
      <c r="S519" s="385" t="s">
        <v>465</v>
      </c>
    </row>
    <row r="520" spans="1:19" s="107" customFormat="1" ht="34.5" customHeight="1" x14ac:dyDescent="0.25">
      <c r="A520" s="266"/>
      <c r="B520" s="75" t="s">
        <v>10</v>
      </c>
      <c r="C520" s="75"/>
      <c r="D520" s="76"/>
      <c r="E520" s="76"/>
      <c r="F520" s="79"/>
      <c r="G520" s="76"/>
      <c r="H520" s="79"/>
      <c r="I520" s="161"/>
      <c r="J520" s="77"/>
      <c r="K520" s="76"/>
      <c r="L520" s="78"/>
      <c r="M520" s="39"/>
      <c r="N520" s="76"/>
      <c r="O520" s="79">
        <f t="shared" si="674"/>
        <v>0</v>
      </c>
      <c r="P520" s="39" t="e">
        <f t="shared" si="592"/>
        <v>#DIV/0!</v>
      </c>
      <c r="Q520" s="76">
        <f t="shared" si="620"/>
        <v>0</v>
      </c>
      <c r="R520" s="79">
        <f t="shared" si="621"/>
        <v>0</v>
      </c>
      <c r="S520" s="399"/>
    </row>
    <row r="521" spans="1:19" s="107" customFormat="1" ht="34.5" customHeight="1" x14ac:dyDescent="0.25">
      <c r="A521" s="266"/>
      <c r="B521" s="75" t="s">
        <v>8</v>
      </c>
      <c r="C521" s="75"/>
      <c r="D521" s="76"/>
      <c r="E521" s="76"/>
      <c r="F521" s="76"/>
      <c r="G521" s="81">
        <v>6973.6</v>
      </c>
      <c r="H521" s="271">
        <v>10097.5</v>
      </c>
      <c r="I521" s="81"/>
      <c r="J521" s="77">
        <f t="shared" ref="J521:J522" si="675">I521/H521</f>
        <v>0</v>
      </c>
      <c r="K521" s="76">
        <f>I521</f>
        <v>0</v>
      </c>
      <c r="L521" s="78">
        <f t="shared" si="665"/>
        <v>0</v>
      </c>
      <c r="M521" s="39" t="e">
        <f t="shared" si="666"/>
        <v>#DIV/0!</v>
      </c>
      <c r="N521" s="81">
        <f>H521</f>
        <v>10097.5</v>
      </c>
      <c r="O521" s="81">
        <f t="shared" si="674"/>
        <v>0</v>
      </c>
      <c r="P521" s="78">
        <f>N521/H521</f>
        <v>1</v>
      </c>
      <c r="Q521" s="81">
        <f t="shared" si="620"/>
        <v>10097.5</v>
      </c>
      <c r="R521" s="81">
        <f t="shared" si="621"/>
        <v>0</v>
      </c>
      <c r="S521" s="399"/>
    </row>
    <row r="522" spans="1:19" s="107" customFormat="1" ht="34.5" customHeight="1" x14ac:dyDescent="0.25">
      <c r="A522" s="266"/>
      <c r="B522" s="80" t="s">
        <v>20</v>
      </c>
      <c r="C522" s="80"/>
      <c r="D522" s="81"/>
      <c r="E522" s="81"/>
      <c r="F522" s="81"/>
      <c r="G522" s="81">
        <v>70.44</v>
      </c>
      <c r="H522" s="81">
        <v>70.44</v>
      </c>
      <c r="I522" s="113"/>
      <c r="J522" s="77">
        <f t="shared" si="675"/>
        <v>0</v>
      </c>
      <c r="K522" s="76">
        <f>I522</f>
        <v>0</v>
      </c>
      <c r="L522" s="78">
        <f t="shared" si="665"/>
        <v>0</v>
      </c>
      <c r="M522" s="39" t="e">
        <f t="shared" si="666"/>
        <v>#DIV/0!</v>
      </c>
      <c r="N522" s="81">
        <f>H522</f>
        <v>70.44</v>
      </c>
      <c r="O522" s="81">
        <f t="shared" si="674"/>
        <v>0</v>
      </c>
      <c r="P522" s="78">
        <f t="shared" ref="P522:P524" si="676">N522/H522</f>
        <v>1</v>
      </c>
      <c r="Q522" s="81">
        <f t="shared" si="620"/>
        <v>70.44</v>
      </c>
      <c r="R522" s="81">
        <f t="shared" si="621"/>
        <v>0</v>
      </c>
      <c r="S522" s="399"/>
    </row>
    <row r="523" spans="1:19" s="107" customFormat="1" ht="34.5" customHeight="1" x14ac:dyDescent="0.25">
      <c r="A523" s="266"/>
      <c r="B523" s="75" t="s">
        <v>22</v>
      </c>
      <c r="C523" s="75"/>
      <c r="D523" s="76"/>
      <c r="E523" s="76"/>
      <c r="F523" s="79"/>
      <c r="G523" s="76"/>
      <c r="H523" s="79"/>
      <c r="I523" s="161"/>
      <c r="J523" s="77"/>
      <c r="K523" s="76"/>
      <c r="L523" s="78"/>
      <c r="M523" s="78"/>
      <c r="N523" s="76"/>
      <c r="O523" s="79">
        <f t="shared" si="674"/>
        <v>0</v>
      </c>
      <c r="P523" s="39" t="e">
        <f t="shared" si="676"/>
        <v>#DIV/0!</v>
      </c>
      <c r="Q523" s="76">
        <f t="shared" si="620"/>
        <v>0</v>
      </c>
      <c r="R523" s="79">
        <f t="shared" si="621"/>
        <v>0</v>
      </c>
      <c r="S523" s="399"/>
    </row>
    <row r="524" spans="1:19" s="107" customFormat="1" ht="113.25" customHeight="1" x14ac:dyDescent="0.25">
      <c r="A524" s="267"/>
      <c r="B524" s="75" t="s">
        <v>11</v>
      </c>
      <c r="C524" s="75"/>
      <c r="D524" s="76"/>
      <c r="E524" s="76"/>
      <c r="F524" s="79"/>
      <c r="G524" s="76"/>
      <c r="H524" s="76"/>
      <c r="I524" s="161"/>
      <c r="J524" s="77"/>
      <c r="K524" s="76"/>
      <c r="L524" s="78"/>
      <c r="M524" s="78"/>
      <c r="N524" s="76"/>
      <c r="O524" s="76">
        <f t="shared" si="674"/>
        <v>0</v>
      </c>
      <c r="P524" s="39" t="e">
        <f t="shared" si="676"/>
        <v>#DIV/0!</v>
      </c>
      <c r="Q524" s="76">
        <f t="shared" si="620"/>
        <v>0</v>
      </c>
      <c r="R524" s="76">
        <f t="shared" si="621"/>
        <v>0</v>
      </c>
      <c r="S524" s="400"/>
    </row>
    <row r="525" spans="1:19" s="245" customFormat="1" ht="89.25" customHeight="1" x14ac:dyDescent="0.25">
      <c r="A525" s="253" t="s">
        <v>141</v>
      </c>
      <c r="B525" s="154" t="s">
        <v>76</v>
      </c>
      <c r="C525" s="154" t="s">
        <v>2</v>
      </c>
      <c r="D525" s="155">
        <f t="shared" ref="D525:K525" si="677">SUM(D526:D530)</f>
        <v>0</v>
      </c>
      <c r="E525" s="155">
        <f t="shared" si="677"/>
        <v>0</v>
      </c>
      <c r="F525" s="155">
        <f t="shared" si="677"/>
        <v>0</v>
      </c>
      <c r="G525" s="155">
        <f t="shared" si="677"/>
        <v>9775.7999999999993</v>
      </c>
      <c r="H525" s="155">
        <f t="shared" si="677"/>
        <v>30263.5</v>
      </c>
      <c r="I525" s="155">
        <f t="shared" si="677"/>
        <v>6914.23</v>
      </c>
      <c r="J525" s="156">
        <f>I525/H525</f>
        <v>0.23</v>
      </c>
      <c r="K525" s="155">
        <f t="shared" si="677"/>
        <v>0</v>
      </c>
      <c r="L525" s="182">
        <f t="shared" si="665"/>
        <v>0</v>
      </c>
      <c r="M525" s="182">
        <f t="shared" si="666"/>
        <v>0</v>
      </c>
      <c r="N525" s="155">
        <f t="shared" ref="N525:O525" si="678">SUM(N526:N530)</f>
        <v>30263.5</v>
      </c>
      <c r="O525" s="155">
        <f t="shared" si="678"/>
        <v>0</v>
      </c>
      <c r="P525" s="182">
        <f t="shared" si="592"/>
        <v>1</v>
      </c>
      <c r="Q525" s="155">
        <f t="shared" si="620"/>
        <v>30263.5</v>
      </c>
      <c r="R525" s="155">
        <f t="shared" si="621"/>
        <v>6914.23</v>
      </c>
      <c r="S525" s="174" t="s">
        <v>347</v>
      </c>
    </row>
    <row r="526" spans="1:19" s="107" customFormat="1" ht="40.5" customHeight="1" x14ac:dyDescent="0.25">
      <c r="A526" s="266"/>
      <c r="B526" s="75" t="s">
        <v>10</v>
      </c>
      <c r="C526" s="75"/>
      <c r="D526" s="76"/>
      <c r="E526" s="76"/>
      <c r="F526" s="79"/>
      <c r="G526" s="76">
        <f>G532</f>
        <v>0</v>
      </c>
      <c r="H526" s="76">
        <f t="shared" ref="H526:I526" si="679">H532</f>
        <v>0</v>
      </c>
      <c r="I526" s="76">
        <f t="shared" si="679"/>
        <v>0</v>
      </c>
      <c r="J526" s="77"/>
      <c r="K526" s="76">
        <f t="shared" ref="K526:K530" si="680">K532</f>
        <v>0</v>
      </c>
      <c r="L526" s="78"/>
      <c r="M526" s="78"/>
      <c r="N526" s="76">
        <f t="shared" ref="N526:O530" si="681">N532</f>
        <v>0</v>
      </c>
      <c r="O526" s="76">
        <f t="shared" si="681"/>
        <v>0</v>
      </c>
      <c r="P526" s="39" t="e">
        <f t="shared" si="592"/>
        <v>#DIV/0!</v>
      </c>
      <c r="Q526" s="76">
        <f t="shared" si="620"/>
        <v>0</v>
      </c>
      <c r="R526" s="76">
        <f t="shared" si="621"/>
        <v>0</v>
      </c>
      <c r="S526" s="194"/>
    </row>
    <row r="527" spans="1:19" s="107" customFormat="1" ht="40.5" customHeight="1" x14ac:dyDescent="0.25">
      <c r="A527" s="266"/>
      <c r="B527" s="75" t="s">
        <v>8</v>
      </c>
      <c r="C527" s="75"/>
      <c r="D527" s="76"/>
      <c r="E527" s="76"/>
      <c r="F527" s="76"/>
      <c r="G527" s="76">
        <f>G533+G539</f>
        <v>9775.7999999999993</v>
      </c>
      <c r="H527" s="76">
        <f>H533+H539</f>
        <v>30263.5</v>
      </c>
      <c r="I527" s="76">
        <f t="shared" ref="G527:I530" si="682">I533</f>
        <v>6914.23</v>
      </c>
      <c r="J527" s="77">
        <f t="shared" ref="J527:J528" si="683">I527/H527</f>
        <v>0.23</v>
      </c>
      <c r="K527" s="76">
        <f t="shared" si="680"/>
        <v>0</v>
      </c>
      <c r="L527" s="78">
        <f t="shared" si="665"/>
        <v>0</v>
      </c>
      <c r="M527" s="78">
        <f t="shared" si="666"/>
        <v>0</v>
      </c>
      <c r="N527" s="76">
        <f>N533+N539</f>
        <v>30263.5</v>
      </c>
      <c r="O527" s="76">
        <f t="shared" si="681"/>
        <v>0</v>
      </c>
      <c r="P527" s="78">
        <f t="shared" si="592"/>
        <v>1</v>
      </c>
      <c r="Q527" s="76">
        <f t="shared" si="620"/>
        <v>30263.5</v>
      </c>
      <c r="R527" s="76">
        <f t="shared" si="621"/>
        <v>6914.23</v>
      </c>
      <c r="S527" s="194"/>
    </row>
    <row r="528" spans="1:19" s="107" customFormat="1" ht="40.5" customHeight="1" x14ac:dyDescent="0.25">
      <c r="A528" s="266"/>
      <c r="B528" s="75" t="s">
        <v>20</v>
      </c>
      <c r="C528" s="75"/>
      <c r="D528" s="76"/>
      <c r="E528" s="76"/>
      <c r="F528" s="76"/>
      <c r="G528" s="76">
        <f t="shared" si="682"/>
        <v>0</v>
      </c>
      <c r="H528" s="76">
        <f t="shared" si="682"/>
        <v>0</v>
      </c>
      <c r="I528" s="76">
        <f t="shared" si="682"/>
        <v>0</v>
      </c>
      <c r="J528" s="38" t="e">
        <f t="shared" si="683"/>
        <v>#DIV/0!</v>
      </c>
      <c r="K528" s="37">
        <f t="shared" si="680"/>
        <v>0</v>
      </c>
      <c r="L528" s="39" t="e">
        <f t="shared" si="665"/>
        <v>#DIV/0!</v>
      </c>
      <c r="M528" s="39" t="e">
        <f t="shared" si="666"/>
        <v>#DIV/0!</v>
      </c>
      <c r="N528" s="37">
        <f t="shared" si="681"/>
        <v>0</v>
      </c>
      <c r="O528" s="37">
        <f t="shared" si="681"/>
        <v>0</v>
      </c>
      <c r="P528" s="39" t="e">
        <f t="shared" si="592"/>
        <v>#DIV/0!</v>
      </c>
      <c r="Q528" s="76">
        <f t="shared" si="620"/>
        <v>0</v>
      </c>
      <c r="R528" s="76">
        <f t="shared" si="621"/>
        <v>0</v>
      </c>
      <c r="S528" s="194"/>
    </row>
    <row r="529" spans="1:19" s="107" customFormat="1" ht="40.5" customHeight="1" x14ac:dyDescent="0.25">
      <c r="A529" s="266"/>
      <c r="B529" s="75" t="s">
        <v>22</v>
      </c>
      <c r="C529" s="75"/>
      <c r="D529" s="76"/>
      <c r="E529" s="76"/>
      <c r="F529" s="79"/>
      <c r="G529" s="76">
        <f t="shared" si="682"/>
        <v>0</v>
      </c>
      <c r="H529" s="76">
        <f t="shared" si="682"/>
        <v>0</v>
      </c>
      <c r="I529" s="76">
        <f t="shared" si="682"/>
        <v>0</v>
      </c>
      <c r="J529" s="38"/>
      <c r="K529" s="37">
        <f t="shared" si="680"/>
        <v>0</v>
      </c>
      <c r="L529" s="39"/>
      <c r="M529" s="39"/>
      <c r="N529" s="37">
        <f t="shared" si="681"/>
        <v>0</v>
      </c>
      <c r="O529" s="37">
        <f t="shared" si="681"/>
        <v>0</v>
      </c>
      <c r="P529" s="38" t="e">
        <f t="shared" si="592"/>
        <v>#DIV/0!</v>
      </c>
      <c r="Q529" s="76">
        <f t="shared" si="620"/>
        <v>0</v>
      </c>
      <c r="R529" s="76">
        <f t="shared" si="621"/>
        <v>0</v>
      </c>
      <c r="S529" s="194"/>
    </row>
    <row r="530" spans="1:19" s="107" customFormat="1" ht="40.5" customHeight="1" x14ac:dyDescent="0.25">
      <c r="A530" s="267"/>
      <c r="B530" s="80" t="s">
        <v>11</v>
      </c>
      <c r="C530" s="80"/>
      <c r="D530" s="81"/>
      <c r="E530" s="81"/>
      <c r="F530" s="82"/>
      <c r="G530" s="76">
        <f t="shared" si="682"/>
        <v>0</v>
      </c>
      <c r="H530" s="76">
        <f t="shared" si="682"/>
        <v>0</v>
      </c>
      <c r="I530" s="76">
        <f t="shared" si="682"/>
        <v>0</v>
      </c>
      <c r="J530" s="43"/>
      <c r="K530" s="37">
        <f t="shared" si="680"/>
        <v>0</v>
      </c>
      <c r="L530" s="44"/>
      <c r="M530" s="44"/>
      <c r="N530" s="37">
        <f t="shared" si="681"/>
        <v>0</v>
      </c>
      <c r="O530" s="37">
        <f t="shared" si="681"/>
        <v>0</v>
      </c>
      <c r="P530" s="43" t="e">
        <f t="shared" si="592"/>
        <v>#DIV/0!</v>
      </c>
      <c r="Q530" s="76">
        <f t="shared" si="620"/>
        <v>0</v>
      </c>
      <c r="R530" s="76">
        <f t="shared" si="621"/>
        <v>0</v>
      </c>
      <c r="S530" s="195"/>
    </row>
    <row r="531" spans="1:19" s="239" customFormat="1" ht="136.5" customHeight="1" x14ac:dyDescent="0.25">
      <c r="A531" s="256" t="s">
        <v>142</v>
      </c>
      <c r="B531" s="69" t="s">
        <v>175</v>
      </c>
      <c r="C531" s="69" t="s">
        <v>17</v>
      </c>
      <c r="D531" s="70">
        <f t="shared" ref="D531:I531" si="684">SUM(D532:D536)</f>
        <v>0</v>
      </c>
      <c r="E531" s="70">
        <f t="shared" si="684"/>
        <v>0</v>
      </c>
      <c r="F531" s="70">
        <f t="shared" si="684"/>
        <v>0</v>
      </c>
      <c r="G531" s="272">
        <f t="shared" si="684"/>
        <v>9775.7999999999993</v>
      </c>
      <c r="H531" s="272">
        <f t="shared" si="684"/>
        <v>9775.7999999999993</v>
      </c>
      <c r="I531" s="272">
        <f t="shared" si="684"/>
        <v>6914.23</v>
      </c>
      <c r="J531" s="273">
        <f>I531/H531</f>
        <v>0.71</v>
      </c>
      <c r="K531" s="272">
        <f>SUM(K532:K536)</f>
        <v>0</v>
      </c>
      <c r="L531" s="274">
        <f t="shared" si="665"/>
        <v>0</v>
      </c>
      <c r="M531" s="274">
        <f t="shared" si="666"/>
        <v>0</v>
      </c>
      <c r="N531" s="272">
        <f>SUM(N532:N536)</f>
        <v>9775.7999999999993</v>
      </c>
      <c r="O531" s="272">
        <f t="shared" ref="O531:O596" si="685">H531-N531</f>
        <v>0</v>
      </c>
      <c r="P531" s="274">
        <f t="shared" si="592"/>
        <v>1</v>
      </c>
      <c r="Q531" s="275">
        <f t="shared" si="620"/>
        <v>9775.7999999999993</v>
      </c>
      <c r="R531" s="275">
        <f t="shared" si="621"/>
        <v>6914.23</v>
      </c>
      <c r="S531" s="385" t="s">
        <v>517</v>
      </c>
    </row>
    <row r="532" spans="1:19" s="107" customFormat="1" ht="78" customHeight="1" x14ac:dyDescent="0.25">
      <c r="A532" s="266"/>
      <c r="B532" s="75" t="s">
        <v>10</v>
      </c>
      <c r="C532" s="75"/>
      <c r="D532" s="76"/>
      <c r="E532" s="76"/>
      <c r="F532" s="79"/>
      <c r="G532" s="197"/>
      <c r="H532" s="276"/>
      <c r="I532" s="277"/>
      <c r="J532" s="199"/>
      <c r="K532" s="197"/>
      <c r="L532" s="198"/>
      <c r="M532" s="198"/>
      <c r="N532" s="197"/>
      <c r="O532" s="276">
        <f t="shared" si="685"/>
        <v>0</v>
      </c>
      <c r="P532" s="66" t="e">
        <f t="shared" si="592"/>
        <v>#DIV/0!</v>
      </c>
      <c r="Q532" s="278">
        <f t="shared" si="620"/>
        <v>0</v>
      </c>
      <c r="R532" s="279">
        <f t="shared" si="621"/>
        <v>0</v>
      </c>
      <c r="S532" s="399"/>
    </row>
    <row r="533" spans="1:19" s="107" customFormat="1" ht="78" customHeight="1" x14ac:dyDescent="0.25">
      <c r="A533" s="266"/>
      <c r="B533" s="75" t="s">
        <v>8</v>
      </c>
      <c r="C533" s="75"/>
      <c r="D533" s="76"/>
      <c r="E533" s="76"/>
      <c r="F533" s="76"/>
      <c r="G533" s="271">
        <v>9775.7999999999993</v>
      </c>
      <c r="H533" s="271">
        <v>9775.7999999999993</v>
      </c>
      <c r="I533" s="197">
        <v>6914.23</v>
      </c>
      <c r="J533" s="199">
        <f t="shared" ref="J533" si="686">I533/H533</f>
        <v>0.71</v>
      </c>
      <c r="K533" s="197"/>
      <c r="L533" s="198">
        <f t="shared" si="665"/>
        <v>0</v>
      </c>
      <c r="M533" s="198">
        <f t="shared" si="666"/>
        <v>0</v>
      </c>
      <c r="N533" s="271">
        <f>H533</f>
        <v>9775.7999999999993</v>
      </c>
      <c r="O533" s="271">
        <f>H533-N533</f>
        <v>0</v>
      </c>
      <c r="P533" s="198">
        <f>N533/H533</f>
        <v>1</v>
      </c>
      <c r="Q533" s="280">
        <f t="shared" si="620"/>
        <v>9775.7999999999993</v>
      </c>
      <c r="R533" s="280">
        <f t="shared" si="621"/>
        <v>6914.23</v>
      </c>
      <c r="S533" s="399"/>
    </row>
    <row r="534" spans="1:19" s="107" customFormat="1" ht="78" customHeight="1" x14ac:dyDescent="0.25">
      <c r="A534" s="266"/>
      <c r="B534" s="80" t="s">
        <v>20</v>
      </c>
      <c r="C534" s="80"/>
      <c r="D534" s="81"/>
      <c r="E534" s="81"/>
      <c r="F534" s="81"/>
      <c r="G534" s="271"/>
      <c r="H534" s="271"/>
      <c r="I534" s="281">
        <v>0</v>
      </c>
      <c r="J534" s="199"/>
      <c r="K534" s="271"/>
      <c r="L534" s="198"/>
      <c r="M534" s="198"/>
      <c r="N534" s="271"/>
      <c r="O534" s="271">
        <f t="shared" si="685"/>
        <v>0</v>
      </c>
      <c r="P534" s="66" t="e">
        <f t="shared" si="592"/>
        <v>#DIV/0!</v>
      </c>
      <c r="Q534" s="280">
        <f t="shared" si="620"/>
        <v>0</v>
      </c>
      <c r="R534" s="280">
        <f t="shared" si="621"/>
        <v>0</v>
      </c>
      <c r="S534" s="399"/>
    </row>
    <row r="535" spans="1:19" s="107" customFormat="1" ht="81.75" customHeight="1" x14ac:dyDescent="0.25">
      <c r="A535" s="266"/>
      <c r="B535" s="75" t="s">
        <v>22</v>
      </c>
      <c r="C535" s="75"/>
      <c r="D535" s="76"/>
      <c r="E535" s="76"/>
      <c r="F535" s="79"/>
      <c r="G535" s="197"/>
      <c r="H535" s="276"/>
      <c r="I535" s="277"/>
      <c r="J535" s="199"/>
      <c r="K535" s="197"/>
      <c r="L535" s="198"/>
      <c r="M535" s="198"/>
      <c r="N535" s="197"/>
      <c r="O535" s="276">
        <f t="shared" si="685"/>
        <v>0</v>
      </c>
      <c r="P535" s="66" t="e">
        <f t="shared" si="592"/>
        <v>#DIV/0!</v>
      </c>
      <c r="Q535" s="278">
        <f t="shared" si="620"/>
        <v>0</v>
      </c>
      <c r="R535" s="279">
        <f t="shared" si="621"/>
        <v>0</v>
      </c>
      <c r="S535" s="399"/>
    </row>
    <row r="536" spans="1:19" s="107" customFormat="1" ht="129" customHeight="1" x14ac:dyDescent="0.25">
      <c r="A536" s="267"/>
      <c r="B536" s="75" t="s">
        <v>11</v>
      </c>
      <c r="C536" s="75"/>
      <c r="D536" s="76"/>
      <c r="E536" s="76"/>
      <c r="F536" s="79"/>
      <c r="G536" s="197"/>
      <c r="H536" s="197"/>
      <c r="I536" s="277"/>
      <c r="J536" s="199"/>
      <c r="K536" s="197"/>
      <c r="L536" s="198"/>
      <c r="M536" s="198"/>
      <c r="N536" s="197"/>
      <c r="O536" s="197">
        <f t="shared" si="685"/>
        <v>0</v>
      </c>
      <c r="P536" s="66" t="e">
        <f t="shared" si="592"/>
        <v>#DIV/0!</v>
      </c>
      <c r="Q536" s="278">
        <f t="shared" si="620"/>
        <v>0</v>
      </c>
      <c r="R536" s="278">
        <f t="shared" si="621"/>
        <v>0</v>
      </c>
      <c r="S536" s="400"/>
    </row>
    <row r="537" spans="1:19" s="107" customFormat="1" ht="93" customHeight="1" x14ac:dyDescent="0.25">
      <c r="A537" s="257" t="s">
        <v>491</v>
      </c>
      <c r="B537" s="69" t="s">
        <v>492</v>
      </c>
      <c r="C537" s="69" t="s">
        <v>17</v>
      </c>
      <c r="D537" s="70">
        <f t="shared" ref="D537:I537" si="687">SUM(D538:D542)</f>
        <v>0</v>
      </c>
      <c r="E537" s="70">
        <f t="shared" si="687"/>
        <v>0</v>
      </c>
      <c r="F537" s="70">
        <f t="shared" si="687"/>
        <v>0</v>
      </c>
      <c r="G537" s="272">
        <f t="shared" si="687"/>
        <v>0</v>
      </c>
      <c r="H537" s="272">
        <f t="shared" si="687"/>
        <v>20487.7</v>
      </c>
      <c r="I537" s="272">
        <f t="shared" si="687"/>
        <v>0</v>
      </c>
      <c r="J537" s="273">
        <f>I537/H537</f>
        <v>0</v>
      </c>
      <c r="K537" s="272">
        <f>SUM(K538:K542)</f>
        <v>0</v>
      </c>
      <c r="L537" s="274">
        <f t="shared" ref="L537" si="688">K537/H537</f>
        <v>0</v>
      </c>
      <c r="M537" s="336" t="e">
        <f t="shared" ref="M537" si="689">K537/I537</f>
        <v>#DIV/0!</v>
      </c>
      <c r="N537" s="272">
        <f>SUM(N538:N542)</f>
        <v>20487.7</v>
      </c>
      <c r="O537" s="272">
        <f t="shared" ref="O537:O542" si="690">H537-N537</f>
        <v>0</v>
      </c>
      <c r="P537" s="274">
        <f t="shared" ref="P537:P538" si="691">N537/H537</f>
        <v>1</v>
      </c>
      <c r="Q537" s="278"/>
      <c r="R537" s="278"/>
      <c r="S537" s="282" t="s">
        <v>493</v>
      </c>
    </row>
    <row r="538" spans="1:19" s="107" customFormat="1" ht="52.5" customHeight="1" x14ac:dyDescent="0.25">
      <c r="A538" s="257"/>
      <c r="B538" s="75" t="s">
        <v>10</v>
      </c>
      <c r="C538" s="75"/>
      <c r="D538" s="76"/>
      <c r="E538" s="76"/>
      <c r="F538" s="79"/>
      <c r="G538" s="197"/>
      <c r="H538" s="276"/>
      <c r="I538" s="277"/>
      <c r="J538" s="199"/>
      <c r="K538" s="197"/>
      <c r="L538" s="198"/>
      <c r="M538" s="66"/>
      <c r="N538" s="197"/>
      <c r="O538" s="276">
        <f t="shared" si="690"/>
        <v>0</v>
      </c>
      <c r="P538" s="66" t="e">
        <f t="shared" si="691"/>
        <v>#DIV/0!</v>
      </c>
      <c r="Q538" s="278"/>
      <c r="R538" s="278"/>
      <c r="S538" s="282"/>
    </row>
    <row r="539" spans="1:19" s="107" customFormat="1" ht="48" customHeight="1" x14ac:dyDescent="0.25">
      <c r="A539" s="266"/>
      <c r="B539" s="75" t="s">
        <v>8</v>
      </c>
      <c r="C539" s="75"/>
      <c r="D539" s="76"/>
      <c r="E539" s="76"/>
      <c r="F539" s="76"/>
      <c r="G539" s="271"/>
      <c r="H539" s="271">
        <v>20487.7</v>
      </c>
      <c r="I539" s="197"/>
      <c r="J539" s="199">
        <f t="shared" ref="J539" si="692">I539/H539</f>
        <v>0</v>
      </c>
      <c r="K539" s="197"/>
      <c r="L539" s="198">
        <f t="shared" ref="L539" si="693">K539/H539</f>
        <v>0</v>
      </c>
      <c r="M539" s="66" t="e">
        <f t="shared" ref="M539" si="694">K539/I539</f>
        <v>#DIV/0!</v>
      </c>
      <c r="N539" s="271">
        <f>H539</f>
        <v>20487.7</v>
      </c>
      <c r="O539" s="271">
        <f t="shared" si="690"/>
        <v>0</v>
      </c>
      <c r="P539" s="198">
        <f>N539/H539</f>
        <v>1</v>
      </c>
      <c r="Q539" s="278"/>
      <c r="R539" s="278"/>
      <c r="S539" s="282"/>
    </row>
    <row r="540" spans="1:19" s="107" customFormat="1" ht="30.75" customHeight="1" x14ac:dyDescent="0.25">
      <c r="A540" s="266"/>
      <c r="B540" s="80" t="s">
        <v>20</v>
      </c>
      <c r="C540" s="80"/>
      <c r="D540" s="81"/>
      <c r="E540" s="81"/>
      <c r="F540" s="81"/>
      <c r="G540" s="271"/>
      <c r="H540" s="271"/>
      <c r="I540" s="281">
        <v>0</v>
      </c>
      <c r="J540" s="199"/>
      <c r="K540" s="271"/>
      <c r="L540" s="198"/>
      <c r="M540" s="198"/>
      <c r="N540" s="271"/>
      <c r="O540" s="271">
        <f t="shared" si="690"/>
        <v>0</v>
      </c>
      <c r="P540" s="66" t="e">
        <f t="shared" ref="P540:P542" si="695">N540/H540</f>
        <v>#DIV/0!</v>
      </c>
      <c r="Q540" s="278"/>
      <c r="R540" s="278"/>
      <c r="S540" s="282"/>
    </row>
    <row r="541" spans="1:19" s="107" customFormat="1" ht="44.25" customHeight="1" x14ac:dyDescent="0.25">
      <c r="A541" s="266"/>
      <c r="B541" s="75" t="s">
        <v>22</v>
      </c>
      <c r="C541" s="75"/>
      <c r="D541" s="76"/>
      <c r="E541" s="76"/>
      <c r="F541" s="79"/>
      <c r="G541" s="197"/>
      <c r="H541" s="276"/>
      <c r="I541" s="277"/>
      <c r="J541" s="199"/>
      <c r="K541" s="197"/>
      <c r="L541" s="198"/>
      <c r="M541" s="198"/>
      <c r="N541" s="197"/>
      <c r="O541" s="276">
        <f t="shared" si="690"/>
        <v>0</v>
      </c>
      <c r="P541" s="66" t="e">
        <f t="shared" si="695"/>
        <v>#DIV/0!</v>
      </c>
      <c r="Q541" s="278"/>
      <c r="R541" s="278"/>
      <c r="S541" s="282"/>
    </row>
    <row r="542" spans="1:19" s="107" customFormat="1" ht="104.25" customHeight="1" x14ac:dyDescent="0.25">
      <c r="A542" s="266"/>
      <c r="B542" s="75" t="s">
        <v>11</v>
      </c>
      <c r="C542" s="75"/>
      <c r="D542" s="76"/>
      <c r="E542" s="76"/>
      <c r="F542" s="79"/>
      <c r="G542" s="197"/>
      <c r="H542" s="197"/>
      <c r="I542" s="277"/>
      <c r="J542" s="199"/>
      <c r="K542" s="197"/>
      <c r="L542" s="198"/>
      <c r="M542" s="198"/>
      <c r="N542" s="197"/>
      <c r="O542" s="197">
        <f t="shared" si="690"/>
        <v>0</v>
      </c>
      <c r="P542" s="66" t="e">
        <f t="shared" si="695"/>
        <v>#DIV/0!</v>
      </c>
      <c r="Q542" s="278"/>
      <c r="R542" s="278"/>
      <c r="S542" s="282"/>
    </row>
    <row r="543" spans="1:19" s="239" customFormat="1" ht="63.75" customHeight="1" x14ac:dyDescent="0.25">
      <c r="A543" s="253" t="s">
        <v>143</v>
      </c>
      <c r="B543" s="154" t="s">
        <v>77</v>
      </c>
      <c r="C543" s="154" t="s">
        <v>2</v>
      </c>
      <c r="D543" s="155">
        <f t="shared" ref="D543:I543" si="696">SUM(D544:D548)</f>
        <v>0</v>
      </c>
      <c r="E543" s="155">
        <f t="shared" si="696"/>
        <v>0</v>
      </c>
      <c r="F543" s="155">
        <f t="shared" si="696"/>
        <v>0</v>
      </c>
      <c r="G543" s="283">
        <f t="shared" si="696"/>
        <v>91298.38</v>
      </c>
      <c r="H543" s="283">
        <f t="shared" si="696"/>
        <v>91298.38</v>
      </c>
      <c r="I543" s="283">
        <f t="shared" si="696"/>
        <v>9661.82</v>
      </c>
      <c r="J543" s="284">
        <f>I543/H543</f>
        <v>0.11</v>
      </c>
      <c r="K543" s="283">
        <f t="shared" ref="K543" si="697">SUM(K544:K548)</f>
        <v>9661.82</v>
      </c>
      <c r="L543" s="285">
        <f t="shared" si="665"/>
        <v>0.11</v>
      </c>
      <c r="M543" s="285">
        <f t="shared" si="666"/>
        <v>1</v>
      </c>
      <c r="N543" s="283">
        <f t="shared" ref="N543:O543" si="698">SUM(N544:N548)</f>
        <v>88708.6</v>
      </c>
      <c r="O543" s="283">
        <f t="shared" si="698"/>
        <v>2589.7800000000002</v>
      </c>
      <c r="P543" s="285">
        <f t="shared" si="592"/>
        <v>0.97</v>
      </c>
      <c r="Q543" s="155">
        <f t="shared" si="620"/>
        <v>81636.56</v>
      </c>
      <c r="R543" s="155">
        <f t="shared" si="621"/>
        <v>0</v>
      </c>
      <c r="S543" s="372"/>
    </row>
    <row r="544" spans="1:19" s="107" customFormat="1" ht="38.25" customHeight="1" x14ac:dyDescent="0.25">
      <c r="A544" s="266"/>
      <c r="B544" s="75" t="s">
        <v>10</v>
      </c>
      <c r="C544" s="75"/>
      <c r="D544" s="76"/>
      <c r="E544" s="76"/>
      <c r="F544" s="79"/>
      <c r="G544" s="197">
        <f>G550+G556+G562+G568+G574+G580+G586+G592</f>
        <v>0</v>
      </c>
      <c r="H544" s="197">
        <f t="shared" ref="H544:I544" si="699">H550+H556+H562+H568+H574+H580+H586+H592</f>
        <v>0</v>
      </c>
      <c r="I544" s="197">
        <f t="shared" si="699"/>
        <v>0</v>
      </c>
      <c r="J544" s="286"/>
      <c r="K544" s="197">
        <f t="shared" ref="K544:K548" si="700">K550+K556+K562+K568+K574+K580+K586+K592</f>
        <v>0</v>
      </c>
      <c r="L544" s="198"/>
      <c r="M544" s="198"/>
      <c r="N544" s="197">
        <f t="shared" ref="N544:O548" si="701">N550+N556+N562+N568+N574+N580+N586+N592</f>
        <v>0</v>
      </c>
      <c r="O544" s="197">
        <f t="shared" si="701"/>
        <v>0</v>
      </c>
      <c r="P544" s="66" t="e">
        <f t="shared" si="592"/>
        <v>#DIV/0!</v>
      </c>
      <c r="Q544" s="76">
        <f t="shared" si="620"/>
        <v>0</v>
      </c>
      <c r="R544" s="76">
        <f t="shared" si="621"/>
        <v>0</v>
      </c>
      <c r="S544" s="373"/>
    </row>
    <row r="545" spans="1:19" s="107" customFormat="1" ht="51.75" customHeight="1" x14ac:dyDescent="0.25">
      <c r="A545" s="266"/>
      <c r="B545" s="75" t="s">
        <v>8</v>
      </c>
      <c r="C545" s="75"/>
      <c r="D545" s="76"/>
      <c r="E545" s="76"/>
      <c r="F545" s="76"/>
      <c r="G545" s="197">
        <f t="shared" ref="G545:I548" si="702">G551+G557+G563+G569+G575+G581+G587+G593</f>
        <v>0</v>
      </c>
      <c r="H545" s="197">
        <f>H551+H557+H563+H569+H575+H581+H587+H593</f>
        <v>0</v>
      </c>
      <c r="I545" s="197">
        <f t="shared" si="702"/>
        <v>0</v>
      </c>
      <c r="J545" s="286"/>
      <c r="K545" s="197">
        <f t="shared" si="700"/>
        <v>0</v>
      </c>
      <c r="L545" s="198"/>
      <c r="M545" s="198"/>
      <c r="N545" s="197">
        <f t="shared" si="701"/>
        <v>0</v>
      </c>
      <c r="O545" s="197">
        <f t="shared" si="701"/>
        <v>0</v>
      </c>
      <c r="P545" s="66" t="e">
        <f t="shared" si="592"/>
        <v>#DIV/0!</v>
      </c>
      <c r="Q545" s="76">
        <f t="shared" si="620"/>
        <v>0</v>
      </c>
      <c r="R545" s="76">
        <f t="shared" si="621"/>
        <v>0</v>
      </c>
      <c r="S545" s="373"/>
    </row>
    <row r="546" spans="1:19" s="107" customFormat="1" ht="38.25" customHeight="1" x14ac:dyDescent="0.25">
      <c r="A546" s="266"/>
      <c r="B546" s="75" t="s">
        <v>20</v>
      </c>
      <c r="C546" s="75"/>
      <c r="D546" s="76"/>
      <c r="E546" s="76"/>
      <c r="F546" s="76"/>
      <c r="G546" s="197">
        <f t="shared" si="702"/>
        <v>32407.38</v>
      </c>
      <c r="H546" s="197">
        <f t="shared" si="702"/>
        <v>32407.38</v>
      </c>
      <c r="I546" s="197">
        <f t="shared" si="702"/>
        <v>9530.36</v>
      </c>
      <c r="J546" s="286">
        <f t="shared" ref="J546" si="703">I546/H546</f>
        <v>0.28999999999999998</v>
      </c>
      <c r="K546" s="197">
        <f t="shared" si="700"/>
        <v>9530.36</v>
      </c>
      <c r="L546" s="198">
        <f t="shared" si="665"/>
        <v>0.28999999999999998</v>
      </c>
      <c r="M546" s="198">
        <f t="shared" si="666"/>
        <v>1</v>
      </c>
      <c r="N546" s="197">
        <f t="shared" si="701"/>
        <v>29817.599999999999</v>
      </c>
      <c r="O546" s="197">
        <f t="shared" si="701"/>
        <v>2589.7800000000002</v>
      </c>
      <c r="P546" s="198">
        <f t="shared" si="592"/>
        <v>0.92</v>
      </c>
      <c r="Q546" s="76">
        <f t="shared" si="620"/>
        <v>22877.02</v>
      </c>
      <c r="R546" s="76">
        <f t="shared" si="621"/>
        <v>0</v>
      </c>
      <c r="S546" s="373"/>
    </row>
    <row r="547" spans="1:19" s="107" customFormat="1" ht="38.25" customHeight="1" x14ac:dyDescent="0.25">
      <c r="A547" s="266"/>
      <c r="B547" s="75" t="s">
        <v>22</v>
      </c>
      <c r="C547" s="75"/>
      <c r="D547" s="76"/>
      <c r="E547" s="76"/>
      <c r="F547" s="79"/>
      <c r="G547" s="197">
        <f t="shared" si="702"/>
        <v>0</v>
      </c>
      <c r="H547" s="197">
        <f t="shared" si="702"/>
        <v>0</v>
      </c>
      <c r="I547" s="197">
        <f t="shared" si="702"/>
        <v>0</v>
      </c>
      <c r="J547" s="286"/>
      <c r="K547" s="197">
        <f t="shared" si="700"/>
        <v>0</v>
      </c>
      <c r="L547" s="198"/>
      <c r="M547" s="198"/>
      <c r="N547" s="197">
        <f t="shared" si="701"/>
        <v>0</v>
      </c>
      <c r="O547" s="197">
        <f t="shared" si="701"/>
        <v>0</v>
      </c>
      <c r="P547" s="66" t="e">
        <f t="shared" ref="P547:P601" si="704">N547/H547</f>
        <v>#DIV/0!</v>
      </c>
      <c r="Q547" s="76">
        <f t="shared" si="620"/>
        <v>0</v>
      </c>
      <c r="R547" s="76">
        <f t="shared" si="621"/>
        <v>0</v>
      </c>
      <c r="S547" s="373"/>
    </row>
    <row r="548" spans="1:19" s="107" customFormat="1" ht="38.25" customHeight="1" x14ac:dyDescent="0.25">
      <c r="A548" s="267"/>
      <c r="B548" s="75" t="s">
        <v>11</v>
      </c>
      <c r="C548" s="75"/>
      <c r="D548" s="76"/>
      <c r="E548" s="76"/>
      <c r="F548" s="79"/>
      <c r="G548" s="197">
        <f t="shared" si="702"/>
        <v>58891</v>
      </c>
      <c r="H548" s="197">
        <f t="shared" si="702"/>
        <v>58891</v>
      </c>
      <c r="I548" s="197">
        <f t="shared" si="702"/>
        <v>131.46</v>
      </c>
      <c r="J548" s="287">
        <f>I548/H548</f>
        <v>2E-3</v>
      </c>
      <c r="K548" s="197">
        <f t="shared" si="700"/>
        <v>131.46</v>
      </c>
      <c r="L548" s="200">
        <f t="shared" si="665"/>
        <v>2E-3</v>
      </c>
      <c r="M548" s="198">
        <f t="shared" si="666"/>
        <v>1</v>
      </c>
      <c r="N548" s="197">
        <f t="shared" si="701"/>
        <v>58891</v>
      </c>
      <c r="O548" s="197">
        <f t="shared" si="701"/>
        <v>0</v>
      </c>
      <c r="P548" s="198">
        <f t="shared" si="704"/>
        <v>1</v>
      </c>
      <c r="Q548" s="76">
        <f t="shared" si="620"/>
        <v>58759.54</v>
      </c>
      <c r="R548" s="76">
        <f t="shared" si="621"/>
        <v>0</v>
      </c>
      <c r="S548" s="374"/>
    </row>
    <row r="549" spans="1:19" s="239" customFormat="1" ht="126" customHeight="1" x14ac:dyDescent="0.25">
      <c r="A549" s="256" t="s">
        <v>144</v>
      </c>
      <c r="B549" s="69" t="s">
        <v>243</v>
      </c>
      <c r="C549" s="69" t="s">
        <v>17</v>
      </c>
      <c r="D549" s="70">
        <f t="shared" ref="D549:I549" si="705">SUM(D550:D554)</f>
        <v>0</v>
      </c>
      <c r="E549" s="70">
        <f t="shared" si="705"/>
        <v>0</v>
      </c>
      <c r="F549" s="70">
        <f t="shared" si="705"/>
        <v>0</v>
      </c>
      <c r="G549" s="70">
        <f t="shared" si="705"/>
        <v>5275.18</v>
      </c>
      <c r="H549" s="70">
        <f t="shared" si="705"/>
        <v>5275.18</v>
      </c>
      <c r="I549" s="71">
        <f t="shared" si="705"/>
        <v>0</v>
      </c>
      <c r="J549" s="72">
        <f>I549/H549</f>
        <v>0</v>
      </c>
      <c r="K549" s="70">
        <f>SUM(K550:K554)</f>
        <v>0</v>
      </c>
      <c r="L549" s="73">
        <f t="shared" si="665"/>
        <v>0</v>
      </c>
      <c r="M549" s="56" t="e">
        <f t="shared" si="666"/>
        <v>#DIV/0!</v>
      </c>
      <c r="N549" s="70">
        <f>SUM(N550:N554)</f>
        <v>3236.82</v>
      </c>
      <c r="O549" s="70">
        <f t="shared" si="685"/>
        <v>2038.36</v>
      </c>
      <c r="P549" s="73">
        <f t="shared" si="704"/>
        <v>0.61</v>
      </c>
      <c r="Q549" s="70">
        <f t="shared" si="620"/>
        <v>5275.18</v>
      </c>
      <c r="R549" s="70">
        <f t="shared" si="621"/>
        <v>0</v>
      </c>
      <c r="S549" s="372" t="s">
        <v>472</v>
      </c>
    </row>
    <row r="550" spans="1:19" s="107" customFormat="1" ht="85.5" customHeight="1" x14ac:dyDescent="0.25">
      <c r="A550" s="266"/>
      <c r="B550" s="75" t="s">
        <v>10</v>
      </c>
      <c r="C550" s="75"/>
      <c r="D550" s="76"/>
      <c r="E550" s="76"/>
      <c r="F550" s="79"/>
      <c r="G550" s="76"/>
      <c r="H550" s="79"/>
      <c r="I550" s="161"/>
      <c r="J550" s="77"/>
      <c r="K550" s="76"/>
      <c r="L550" s="78"/>
      <c r="M550" s="39"/>
      <c r="N550" s="76"/>
      <c r="O550" s="79">
        <f t="shared" si="685"/>
        <v>0</v>
      </c>
      <c r="P550" s="39" t="e">
        <f t="shared" si="704"/>
        <v>#DIV/0!</v>
      </c>
      <c r="Q550" s="76">
        <f t="shared" si="620"/>
        <v>0</v>
      </c>
      <c r="R550" s="79">
        <f t="shared" si="621"/>
        <v>0</v>
      </c>
      <c r="S550" s="373"/>
    </row>
    <row r="551" spans="1:19" s="107" customFormat="1" ht="72" customHeight="1" x14ac:dyDescent="0.25">
      <c r="A551" s="266"/>
      <c r="B551" s="75" t="s">
        <v>8</v>
      </c>
      <c r="C551" s="75"/>
      <c r="D551" s="76"/>
      <c r="E551" s="76"/>
      <c r="F551" s="76"/>
      <c r="G551" s="76"/>
      <c r="H551" s="76"/>
      <c r="I551" s="161"/>
      <c r="J551" s="77"/>
      <c r="K551" s="76"/>
      <c r="L551" s="78"/>
      <c r="M551" s="39"/>
      <c r="N551" s="76"/>
      <c r="O551" s="76">
        <f t="shared" si="685"/>
        <v>0</v>
      </c>
      <c r="P551" s="39" t="e">
        <f t="shared" si="704"/>
        <v>#DIV/0!</v>
      </c>
      <c r="Q551" s="76">
        <f t="shared" si="620"/>
        <v>0</v>
      </c>
      <c r="R551" s="76">
        <f t="shared" si="621"/>
        <v>0</v>
      </c>
      <c r="S551" s="373"/>
    </row>
    <row r="552" spans="1:19" s="107" customFormat="1" ht="83.25" customHeight="1" x14ac:dyDescent="0.25">
      <c r="A552" s="266"/>
      <c r="B552" s="80" t="s">
        <v>20</v>
      </c>
      <c r="C552" s="80"/>
      <c r="D552" s="81"/>
      <c r="E552" s="81"/>
      <c r="F552" s="81"/>
      <c r="G552" s="81">
        <v>2238.1799999999998</v>
      </c>
      <c r="H552" s="81">
        <v>2238.1799999999998</v>
      </c>
      <c r="I552" s="113"/>
      <c r="J552" s="77">
        <f t="shared" ref="J552" si="706">I552/H552</f>
        <v>0</v>
      </c>
      <c r="K552" s="81"/>
      <c r="L552" s="78">
        <f t="shared" si="665"/>
        <v>0</v>
      </c>
      <c r="M552" s="39" t="e">
        <f t="shared" si="666"/>
        <v>#DIV/0!</v>
      </c>
      <c r="N552" s="81">
        <v>199.82</v>
      </c>
      <c r="O552" s="81">
        <f t="shared" si="685"/>
        <v>2038.36</v>
      </c>
      <c r="P552" s="78">
        <f t="shared" si="704"/>
        <v>0.09</v>
      </c>
      <c r="Q552" s="81">
        <f t="shared" si="620"/>
        <v>2238.1799999999998</v>
      </c>
      <c r="R552" s="81">
        <f t="shared" si="621"/>
        <v>0</v>
      </c>
      <c r="S552" s="373"/>
    </row>
    <row r="553" spans="1:19" s="107" customFormat="1" ht="85.5" customHeight="1" x14ac:dyDescent="0.25">
      <c r="A553" s="266"/>
      <c r="B553" s="75" t="s">
        <v>22</v>
      </c>
      <c r="C553" s="75"/>
      <c r="D553" s="76"/>
      <c r="E553" s="76"/>
      <c r="F553" s="79"/>
      <c r="G553" s="76"/>
      <c r="H553" s="76"/>
      <c r="I553" s="161"/>
      <c r="J553" s="77"/>
      <c r="K553" s="76"/>
      <c r="L553" s="78"/>
      <c r="M553" s="39"/>
      <c r="N553" s="81">
        <f>H553</f>
        <v>0</v>
      </c>
      <c r="O553" s="79">
        <f t="shared" si="685"/>
        <v>0</v>
      </c>
      <c r="P553" s="39" t="e">
        <f t="shared" si="704"/>
        <v>#DIV/0!</v>
      </c>
      <c r="Q553" s="76">
        <f t="shared" si="620"/>
        <v>0</v>
      </c>
      <c r="R553" s="79">
        <f t="shared" si="621"/>
        <v>0</v>
      </c>
      <c r="S553" s="373"/>
    </row>
    <row r="554" spans="1:19" s="107" customFormat="1" ht="149.25" customHeight="1" x14ac:dyDescent="0.25">
      <c r="A554" s="267"/>
      <c r="B554" s="75" t="s">
        <v>11</v>
      </c>
      <c r="C554" s="75"/>
      <c r="D554" s="76"/>
      <c r="E554" s="76"/>
      <c r="F554" s="79"/>
      <c r="G554" s="76">
        <v>3037</v>
      </c>
      <c r="H554" s="76">
        <v>3037</v>
      </c>
      <c r="I554" s="161"/>
      <c r="J554" s="77"/>
      <c r="K554" s="76"/>
      <c r="L554" s="78"/>
      <c r="M554" s="39"/>
      <c r="N554" s="81">
        <f>H554</f>
        <v>3037</v>
      </c>
      <c r="O554" s="76">
        <f t="shared" si="685"/>
        <v>0</v>
      </c>
      <c r="P554" s="78">
        <f t="shared" si="704"/>
        <v>1</v>
      </c>
      <c r="Q554" s="76">
        <f t="shared" si="620"/>
        <v>3037</v>
      </c>
      <c r="R554" s="76">
        <f t="shared" si="621"/>
        <v>0</v>
      </c>
      <c r="S554" s="374"/>
    </row>
    <row r="555" spans="1:19" s="239" customFormat="1" ht="216" customHeight="1" x14ac:dyDescent="0.25">
      <c r="A555" s="256" t="s">
        <v>209</v>
      </c>
      <c r="B555" s="69" t="s">
        <v>244</v>
      </c>
      <c r="C555" s="69" t="s">
        <v>17</v>
      </c>
      <c r="D555" s="70">
        <f t="shared" ref="D555:K555" si="707">SUM(D556:D560)</f>
        <v>0</v>
      </c>
      <c r="E555" s="70">
        <f t="shared" si="707"/>
        <v>0</v>
      </c>
      <c r="F555" s="70">
        <f t="shared" si="707"/>
        <v>0</v>
      </c>
      <c r="G555" s="70">
        <f t="shared" si="707"/>
        <v>28074.28</v>
      </c>
      <c r="H555" s="70">
        <f t="shared" si="707"/>
        <v>28074.28</v>
      </c>
      <c r="I555" s="70">
        <f t="shared" si="707"/>
        <v>9530.36</v>
      </c>
      <c r="J555" s="72">
        <f>I555/H555</f>
        <v>0.34</v>
      </c>
      <c r="K555" s="70">
        <f t="shared" si="707"/>
        <v>9530.36</v>
      </c>
      <c r="L555" s="73">
        <f t="shared" si="665"/>
        <v>0.34</v>
      </c>
      <c r="M555" s="73">
        <f t="shared" si="666"/>
        <v>1</v>
      </c>
      <c r="N555" s="70">
        <f>SUM(N556:N560)</f>
        <v>28074.28</v>
      </c>
      <c r="O555" s="272">
        <f t="shared" si="685"/>
        <v>0</v>
      </c>
      <c r="P555" s="73">
        <f t="shared" si="704"/>
        <v>1</v>
      </c>
      <c r="Q555" s="70">
        <f t="shared" si="620"/>
        <v>18543.919999999998</v>
      </c>
      <c r="R555" s="70">
        <f t="shared" si="621"/>
        <v>0</v>
      </c>
      <c r="S555" s="372" t="s">
        <v>509</v>
      </c>
    </row>
    <row r="556" spans="1:19" s="107" customFormat="1" x14ac:dyDescent="0.25">
      <c r="A556" s="266"/>
      <c r="B556" s="80" t="s">
        <v>10</v>
      </c>
      <c r="C556" s="80"/>
      <c r="D556" s="81"/>
      <c r="E556" s="81"/>
      <c r="F556" s="82"/>
      <c r="G556" s="81"/>
      <c r="H556" s="82"/>
      <c r="I556" s="113"/>
      <c r="J556" s="83"/>
      <c r="K556" s="81"/>
      <c r="L556" s="84"/>
      <c r="M556" s="84"/>
      <c r="N556" s="81"/>
      <c r="O556" s="312">
        <f t="shared" si="685"/>
        <v>0</v>
      </c>
      <c r="P556" s="44" t="e">
        <f t="shared" si="704"/>
        <v>#DIV/0!</v>
      </c>
      <c r="Q556" s="81">
        <f t="shared" si="620"/>
        <v>0</v>
      </c>
      <c r="R556" s="82">
        <f t="shared" si="621"/>
        <v>0</v>
      </c>
      <c r="S556" s="373"/>
    </row>
    <row r="557" spans="1:19" s="107" customFormat="1" x14ac:dyDescent="0.25">
      <c r="A557" s="266"/>
      <c r="B557" s="75" t="s">
        <v>8</v>
      </c>
      <c r="C557" s="75"/>
      <c r="D557" s="76"/>
      <c r="E557" s="76"/>
      <c r="F557" s="76"/>
      <c r="G557" s="76"/>
      <c r="H557" s="76"/>
      <c r="I557" s="161"/>
      <c r="J557" s="77"/>
      <c r="K557" s="76"/>
      <c r="L557" s="78"/>
      <c r="M557" s="78"/>
      <c r="N557" s="76"/>
      <c r="O557" s="197">
        <f t="shared" si="685"/>
        <v>0</v>
      </c>
      <c r="P557" s="39" t="e">
        <f t="shared" si="704"/>
        <v>#DIV/0!</v>
      </c>
      <c r="Q557" s="76">
        <f t="shared" si="620"/>
        <v>0</v>
      </c>
      <c r="R557" s="76">
        <f t="shared" si="621"/>
        <v>0</v>
      </c>
      <c r="S557" s="373"/>
    </row>
    <row r="558" spans="1:19" s="107" customFormat="1" x14ac:dyDescent="0.25">
      <c r="A558" s="266"/>
      <c r="B558" s="80" t="s">
        <v>20</v>
      </c>
      <c r="C558" s="80"/>
      <c r="D558" s="81"/>
      <c r="E558" s="81"/>
      <c r="F558" s="81"/>
      <c r="G558" s="81">
        <v>28074.28</v>
      </c>
      <c r="H558" s="81">
        <v>28074.28</v>
      </c>
      <c r="I558" s="76">
        <v>9530.36</v>
      </c>
      <c r="J558" s="77">
        <f>I558/H558</f>
        <v>0.34</v>
      </c>
      <c r="K558" s="76">
        <f>I558</f>
        <v>9530.36</v>
      </c>
      <c r="L558" s="78">
        <f t="shared" ref="L558" si="708">K558/H558</f>
        <v>0.34</v>
      </c>
      <c r="M558" s="78">
        <f t="shared" ref="M558" si="709">K558/I558</f>
        <v>1</v>
      </c>
      <c r="N558" s="76">
        <v>28074.28</v>
      </c>
      <c r="O558" s="271">
        <f t="shared" si="685"/>
        <v>0</v>
      </c>
      <c r="P558" s="78">
        <f t="shared" si="704"/>
        <v>1</v>
      </c>
      <c r="Q558" s="81">
        <f t="shared" si="620"/>
        <v>18543.919999999998</v>
      </c>
      <c r="R558" s="81">
        <f t="shared" si="621"/>
        <v>0</v>
      </c>
      <c r="S558" s="373"/>
    </row>
    <row r="559" spans="1:19" s="107" customFormat="1" x14ac:dyDescent="0.25">
      <c r="A559" s="266"/>
      <c r="B559" s="75" t="s">
        <v>22</v>
      </c>
      <c r="C559" s="75"/>
      <c r="D559" s="76"/>
      <c r="E559" s="76"/>
      <c r="F559" s="79"/>
      <c r="G559" s="76"/>
      <c r="H559" s="79"/>
      <c r="I559" s="161"/>
      <c r="J559" s="77"/>
      <c r="K559" s="76"/>
      <c r="L559" s="78"/>
      <c r="M559" s="78"/>
      <c r="N559" s="76"/>
      <c r="O559" s="79">
        <f t="shared" si="685"/>
        <v>0</v>
      </c>
      <c r="P559" s="39" t="e">
        <f t="shared" si="704"/>
        <v>#DIV/0!</v>
      </c>
      <c r="Q559" s="76">
        <f t="shared" ref="Q559:Q608" si="710">H559-K559</f>
        <v>0</v>
      </c>
      <c r="R559" s="79">
        <f t="shared" ref="R559:R608" si="711">I559-K559</f>
        <v>0</v>
      </c>
      <c r="S559" s="373"/>
    </row>
    <row r="560" spans="1:19" s="107" customFormat="1" ht="60.75" customHeight="1" x14ac:dyDescent="0.25">
      <c r="A560" s="267"/>
      <c r="B560" s="75" t="s">
        <v>11</v>
      </c>
      <c r="C560" s="75"/>
      <c r="D560" s="76"/>
      <c r="E560" s="76"/>
      <c r="F560" s="79"/>
      <c r="G560" s="76"/>
      <c r="H560" s="76"/>
      <c r="I560" s="161"/>
      <c r="J560" s="77"/>
      <c r="K560" s="76"/>
      <c r="L560" s="78"/>
      <c r="M560" s="78"/>
      <c r="N560" s="76"/>
      <c r="O560" s="76">
        <f t="shared" si="685"/>
        <v>0</v>
      </c>
      <c r="P560" s="39" t="e">
        <f t="shared" si="704"/>
        <v>#DIV/0!</v>
      </c>
      <c r="Q560" s="76">
        <f t="shared" si="710"/>
        <v>0</v>
      </c>
      <c r="R560" s="76">
        <f t="shared" si="711"/>
        <v>0</v>
      </c>
      <c r="S560" s="374"/>
    </row>
    <row r="561" spans="1:83" s="239" customFormat="1" ht="84.75" customHeight="1" x14ac:dyDescent="0.25">
      <c r="A561" s="256" t="s">
        <v>210</v>
      </c>
      <c r="B561" s="69" t="s">
        <v>245</v>
      </c>
      <c r="C561" s="69" t="s">
        <v>17</v>
      </c>
      <c r="D561" s="70">
        <f t="shared" ref="D561:I561" si="712">SUM(D562:D566)</f>
        <v>0</v>
      </c>
      <c r="E561" s="70">
        <f t="shared" si="712"/>
        <v>0</v>
      </c>
      <c r="F561" s="70">
        <f t="shared" si="712"/>
        <v>0</v>
      </c>
      <c r="G561" s="70">
        <f t="shared" si="712"/>
        <v>1819.78</v>
      </c>
      <c r="H561" s="70">
        <f t="shared" si="712"/>
        <v>1819.78</v>
      </c>
      <c r="I561" s="70">
        <f t="shared" si="712"/>
        <v>0</v>
      </c>
      <c r="J561" s="72">
        <f>I561/H561</f>
        <v>0</v>
      </c>
      <c r="K561" s="70">
        <f>SUM(K562:K566)</f>
        <v>0</v>
      </c>
      <c r="L561" s="73">
        <f t="shared" si="665"/>
        <v>0</v>
      </c>
      <c r="M561" s="56" t="e">
        <f>K561/I561</f>
        <v>#DIV/0!</v>
      </c>
      <c r="N561" s="70">
        <f>SUM(N562:N566)</f>
        <v>1268.3599999999999</v>
      </c>
      <c r="O561" s="70">
        <f t="shared" si="685"/>
        <v>551.41999999999996</v>
      </c>
      <c r="P561" s="73">
        <f t="shared" si="704"/>
        <v>0.7</v>
      </c>
      <c r="Q561" s="70">
        <f t="shared" si="710"/>
        <v>1819.78</v>
      </c>
      <c r="R561" s="70">
        <f t="shared" si="711"/>
        <v>0</v>
      </c>
      <c r="S561" s="372" t="s">
        <v>473</v>
      </c>
      <c r="T561" s="368"/>
      <c r="U561" s="368"/>
      <c r="V561" s="368"/>
      <c r="W561" s="368"/>
      <c r="X561" s="368"/>
      <c r="Y561" s="368"/>
      <c r="Z561" s="368"/>
      <c r="AA561" s="368"/>
      <c r="AB561" s="368"/>
      <c r="AC561" s="368"/>
      <c r="AD561" s="368"/>
      <c r="AE561" s="368"/>
      <c r="AF561" s="368"/>
      <c r="AG561" s="368"/>
      <c r="AH561" s="368"/>
      <c r="AI561" s="368"/>
      <c r="AJ561" s="368"/>
      <c r="AK561" s="368"/>
      <c r="AL561" s="368"/>
      <c r="AM561" s="368"/>
      <c r="AN561" s="368"/>
      <c r="AO561" s="368"/>
      <c r="AP561" s="368"/>
      <c r="AQ561" s="368"/>
      <c r="AR561" s="368"/>
      <c r="AS561" s="368"/>
      <c r="AT561" s="368"/>
      <c r="AU561" s="368"/>
      <c r="AV561" s="368"/>
      <c r="AW561" s="368"/>
      <c r="AX561" s="368"/>
      <c r="AY561" s="368"/>
      <c r="AZ561" s="368"/>
      <c r="BA561" s="368"/>
      <c r="BB561" s="368"/>
      <c r="BC561" s="368"/>
      <c r="BD561" s="368"/>
      <c r="BE561" s="368"/>
      <c r="BF561" s="368"/>
      <c r="BG561" s="368"/>
      <c r="BH561" s="368"/>
      <c r="BI561" s="368"/>
      <c r="BJ561" s="368"/>
      <c r="BK561" s="368"/>
      <c r="BL561" s="368"/>
      <c r="BM561" s="368"/>
      <c r="BN561" s="368"/>
      <c r="BO561" s="368"/>
      <c r="BP561" s="368"/>
      <c r="BQ561" s="368"/>
      <c r="BR561" s="368"/>
      <c r="BS561" s="368"/>
      <c r="BT561" s="368"/>
      <c r="BU561" s="368"/>
      <c r="BV561" s="368"/>
      <c r="BW561" s="368"/>
      <c r="BX561" s="368"/>
      <c r="BY561" s="368"/>
      <c r="BZ561" s="368"/>
      <c r="CA561" s="368"/>
      <c r="CB561" s="368"/>
      <c r="CC561" s="368"/>
      <c r="CD561" s="368"/>
      <c r="CE561" s="368"/>
    </row>
    <row r="562" spans="1:83" s="107" customFormat="1" ht="34.5" customHeight="1" x14ac:dyDescent="0.25">
      <c r="A562" s="257"/>
      <c r="B562" s="75" t="s">
        <v>10</v>
      </c>
      <c r="C562" s="75"/>
      <c r="D562" s="76"/>
      <c r="E562" s="76"/>
      <c r="F562" s="79"/>
      <c r="G562" s="76"/>
      <c r="H562" s="79"/>
      <c r="I562" s="161"/>
      <c r="J562" s="38"/>
      <c r="K562" s="37"/>
      <c r="L562" s="39"/>
      <c r="M562" s="39"/>
      <c r="N562" s="37"/>
      <c r="O562" s="60">
        <f t="shared" si="685"/>
        <v>0</v>
      </c>
      <c r="P562" s="39" t="e">
        <f t="shared" si="704"/>
        <v>#DIV/0!</v>
      </c>
      <c r="Q562" s="76">
        <f t="shared" si="710"/>
        <v>0</v>
      </c>
      <c r="R562" s="79">
        <f t="shared" si="711"/>
        <v>0</v>
      </c>
      <c r="S562" s="373"/>
      <c r="T562" s="368"/>
      <c r="U562" s="368"/>
      <c r="V562" s="368"/>
      <c r="W562" s="368"/>
      <c r="X562" s="368"/>
      <c r="Y562" s="368"/>
      <c r="Z562" s="368"/>
      <c r="AA562" s="368"/>
      <c r="AB562" s="368"/>
      <c r="AC562" s="368"/>
      <c r="AD562" s="368"/>
      <c r="AE562" s="368"/>
      <c r="AF562" s="368"/>
      <c r="AG562" s="368"/>
      <c r="AH562" s="368"/>
      <c r="AI562" s="368"/>
      <c r="AJ562" s="368"/>
      <c r="AK562" s="368"/>
      <c r="AL562" s="368"/>
      <c r="AM562" s="368"/>
      <c r="AN562" s="368"/>
      <c r="AO562" s="368"/>
      <c r="AP562" s="368"/>
      <c r="AQ562" s="368"/>
      <c r="AR562" s="368"/>
      <c r="AS562" s="368"/>
      <c r="AT562" s="368"/>
      <c r="AU562" s="368"/>
      <c r="AV562" s="368"/>
      <c r="AW562" s="368"/>
      <c r="AX562" s="368"/>
      <c r="AY562" s="368"/>
      <c r="AZ562" s="368"/>
      <c r="BA562" s="368"/>
      <c r="BB562" s="368"/>
      <c r="BC562" s="368"/>
      <c r="BD562" s="368"/>
      <c r="BE562" s="368"/>
      <c r="BF562" s="368"/>
      <c r="BG562" s="368"/>
      <c r="BH562" s="368"/>
      <c r="BI562" s="368"/>
      <c r="BJ562" s="368"/>
      <c r="BK562" s="368"/>
      <c r="BL562" s="368"/>
      <c r="BM562" s="368"/>
      <c r="BN562" s="368"/>
      <c r="BO562" s="368"/>
      <c r="BP562" s="368"/>
      <c r="BQ562" s="368"/>
      <c r="BR562" s="368"/>
      <c r="BS562" s="368"/>
      <c r="BT562" s="368"/>
      <c r="BU562" s="368"/>
      <c r="BV562" s="368"/>
      <c r="BW562" s="368"/>
      <c r="BX562" s="368"/>
      <c r="BY562" s="368"/>
      <c r="BZ562" s="368"/>
      <c r="CA562" s="368"/>
      <c r="CB562" s="368"/>
      <c r="CC562" s="368"/>
      <c r="CD562" s="368"/>
      <c r="CE562" s="368"/>
    </row>
    <row r="563" spans="1:83" s="107" customFormat="1" ht="34.5" customHeight="1" x14ac:dyDescent="0.25">
      <c r="A563" s="257"/>
      <c r="B563" s="75" t="s">
        <v>8</v>
      </c>
      <c r="C563" s="75"/>
      <c r="D563" s="76"/>
      <c r="E563" s="76"/>
      <c r="F563" s="76"/>
      <c r="G563" s="76"/>
      <c r="H563" s="76"/>
      <c r="I563" s="76"/>
      <c r="J563" s="38" t="e">
        <f t="shared" ref="J563:J564" si="713">I563/H563</f>
        <v>#DIV/0!</v>
      </c>
      <c r="K563" s="37"/>
      <c r="L563" s="39" t="e">
        <f t="shared" ref="L563" si="714">K563/H563</f>
        <v>#DIV/0!</v>
      </c>
      <c r="M563" s="39" t="e">
        <f t="shared" ref="M563" si="715">K563/I563</f>
        <v>#DIV/0!</v>
      </c>
      <c r="N563" s="37"/>
      <c r="O563" s="37">
        <f t="shared" si="685"/>
        <v>0</v>
      </c>
      <c r="P563" s="39" t="e">
        <f t="shared" si="704"/>
        <v>#DIV/0!</v>
      </c>
      <c r="Q563" s="76">
        <f t="shared" si="710"/>
        <v>0</v>
      </c>
      <c r="R563" s="76">
        <f t="shared" si="711"/>
        <v>0</v>
      </c>
      <c r="S563" s="373"/>
      <c r="T563" s="368"/>
      <c r="U563" s="368"/>
      <c r="V563" s="368"/>
      <c r="W563" s="368"/>
      <c r="X563" s="368"/>
      <c r="Y563" s="368"/>
      <c r="Z563" s="368"/>
      <c r="AA563" s="368"/>
      <c r="AB563" s="368"/>
      <c r="AC563" s="368"/>
      <c r="AD563" s="368"/>
      <c r="AE563" s="368"/>
      <c r="AF563" s="368"/>
      <c r="AG563" s="368"/>
      <c r="AH563" s="368"/>
      <c r="AI563" s="368"/>
      <c r="AJ563" s="368"/>
      <c r="AK563" s="368"/>
      <c r="AL563" s="368"/>
      <c r="AM563" s="368"/>
      <c r="AN563" s="368"/>
      <c r="AO563" s="368"/>
      <c r="AP563" s="368"/>
      <c r="AQ563" s="368"/>
      <c r="AR563" s="368"/>
      <c r="AS563" s="368"/>
      <c r="AT563" s="368"/>
      <c r="AU563" s="368"/>
      <c r="AV563" s="368"/>
      <c r="AW563" s="368"/>
      <c r="AX563" s="368"/>
      <c r="AY563" s="368"/>
      <c r="AZ563" s="368"/>
      <c r="BA563" s="368"/>
      <c r="BB563" s="368"/>
      <c r="BC563" s="368"/>
      <c r="BD563" s="368"/>
      <c r="BE563" s="368"/>
      <c r="BF563" s="368"/>
      <c r="BG563" s="368"/>
      <c r="BH563" s="368"/>
      <c r="BI563" s="368"/>
      <c r="BJ563" s="368"/>
      <c r="BK563" s="368"/>
      <c r="BL563" s="368"/>
      <c r="BM563" s="368"/>
      <c r="BN563" s="368"/>
      <c r="BO563" s="368"/>
      <c r="BP563" s="368"/>
      <c r="BQ563" s="368"/>
      <c r="BR563" s="368"/>
      <c r="BS563" s="368"/>
      <c r="BT563" s="368"/>
      <c r="BU563" s="368"/>
      <c r="BV563" s="368"/>
      <c r="BW563" s="368"/>
      <c r="BX563" s="368"/>
      <c r="BY563" s="368"/>
      <c r="BZ563" s="368"/>
      <c r="CA563" s="368"/>
      <c r="CB563" s="368"/>
      <c r="CC563" s="368"/>
      <c r="CD563" s="368"/>
      <c r="CE563" s="368"/>
    </row>
    <row r="564" spans="1:83" s="107" customFormat="1" ht="38.25" customHeight="1" x14ac:dyDescent="0.25">
      <c r="A564" s="257"/>
      <c r="B564" s="80" t="s">
        <v>20</v>
      </c>
      <c r="C564" s="80"/>
      <c r="D564" s="81"/>
      <c r="E564" s="81"/>
      <c r="F564" s="81"/>
      <c r="G564" s="81">
        <v>1819.78</v>
      </c>
      <c r="H564" s="81">
        <v>1819.78</v>
      </c>
      <c r="I564" s="81"/>
      <c r="J564" s="77">
        <f t="shared" si="713"/>
        <v>0</v>
      </c>
      <c r="K564" s="81">
        <f>I564</f>
        <v>0</v>
      </c>
      <c r="L564" s="78">
        <f t="shared" si="665"/>
        <v>0</v>
      </c>
      <c r="M564" s="39" t="e">
        <f>K564/I564</f>
        <v>#DIV/0!</v>
      </c>
      <c r="N564" s="81">
        <v>1268.3599999999999</v>
      </c>
      <c r="O564" s="81">
        <f t="shared" si="685"/>
        <v>551.41999999999996</v>
      </c>
      <c r="P564" s="78">
        <f t="shared" si="704"/>
        <v>0.7</v>
      </c>
      <c r="Q564" s="81">
        <f t="shared" si="710"/>
        <v>1819.78</v>
      </c>
      <c r="R564" s="81">
        <f t="shared" si="711"/>
        <v>0</v>
      </c>
      <c r="S564" s="373"/>
      <c r="T564" s="368"/>
      <c r="U564" s="368"/>
      <c r="V564" s="368"/>
      <c r="W564" s="368"/>
      <c r="X564" s="368"/>
      <c r="Y564" s="368"/>
      <c r="Z564" s="368"/>
      <c r="AA564" s="368"/>
      <c r="AB564" s="368"/>
      <c r="AC564" s="368"/>
      <c r="AD564" s="368"/>
      <c r="AE564" s="368"/>
      <c r="AF564" s="368"/>
      <c r="AG564" s="368"/>
      <c r="AH564" s="368"/>
      <c r="AI564" s="368"/>
      <c r="AJ564" s="368"/>
      <c r="AK564" s="368"/>
      <c r="AL564" s="368"/>
      <c r="AM564" s="368"/>
      <c r="AN564" s="368"/>
      <c r="AO564" s="368"/>
      <c r="AP564" s="368"/>
      <c r="AQ564" s="368"/>
      <c r="AR564" s="368"/>
      <c r="AS564" s="368"/>
      <c r="AT564" s="368"/>
      <c r="AU564" s="368"/>
      <c r="AV564" s="368"/>
      <c r="AW564" s="368"/>
      <c r="AX564" s="368"/>
      <c r="AY564" s="368"/>
      <c r="AZ564" s="368"/>
      <c r="BA564" s="368"/>
      <c r="BB564" s="368"/>
      <c r="BC564" s="368"/>
      <c r="BD564" s="368"/>
      <c r="BE564" s="368"/>
      <c r="BF564" s="368"/>
      <c r="BG564" s="368"/>
      <c r="BH564" s="368"/>
      <c r="BI564" s="368"/>
      <c r="BJ564" s="368"/>
      <c r="BK564" s="368"/>
      <c r="BL564" s="368"/>
      <c r="BM564" s="368"/>
      <c r="BN564" s="368"/>
      <c r="BO564" s="368"/>
      <c r="BP564" s="368"/>
      <c r="BQ564" s="368"/>
      <c r="BR564" s="368"/>
      <c r="BS564" s="368"/>
      <c r="BT564" s="368"/>
      <c r="BU564" s="368"/>
      <c r="BV564" s="368"/>
      <c r="BW564" s="368"/>
      <c r="BX564" s="368"/>
      <c r="BY564" s="368"/>
      <c r="BZ564" s="368"/>
      <c r="CA564" s="368"/>
      <c r="CB564" s="368"/>
      <c r="CC564" s="368"/>
      <c r="CD564" s="368"/>
      <c r="CE564" s="368"/>
    </row>
    <row r="565" spans="1:83" s="107" customFormat="1" ht="40.5" customHeight="1" x14ac:dyDescent="0.25">
      <c r="A565" s="257"/>
      <c r="B565" s="75" t="s">
        <v>22</v>
      </c>
      <c r="C565" s="75"/>
      <c r="D565" s="76"/>
      <c r="E565" s="76"/>
      <c r="F565" s="79"/>
      <c r="G565" s="76"/>
      <c r="H565" s="79"/>
      <c r="I565" s="161"/>
      <c r="J565" s="77"/>
      <c r="K565" s="76"/>
      <c r="L565" s="78"/>
      <c r="M565" s="39"/>
      <c r="N565" s="76"/>
      <c r="O565" s="79">
        <f t="shared" si="685"/>
        <v>0</v>
      </c>
      <c r="P565" s="39" t="e">
        <f t="shared" si="704"/>
        <v>#DIV/0!</v>
      </c>
      <c r="Q565" s="76">
        <f t="shared" si="710"/>
        <v>0</v>
      </c>
      <c r="R565" s="79">
        <f t="shared" si="711"/>
        <v>0</v>
      </c>
      <c r="S565" s="373"/>
      <c r="T565" s="368"/>
      <c r="U565" s="368"/>
      <c r="V565" s="368"/>
      <c r="W565" s="368"/>
      <c r="X565" s="368"/>
      <c r="Y565" s="368"/>
      <c r="Z565" s="368"/>
      <c r="AA565" s="368"/>
      <c r="AB565" s="368"/>
      <c r="AC565" s="368"/>
      <c r="AD565" s="368"/>
      <c r="AE565" s="368"/>
      <c r="AF565" s="368"/>
      <c r="AG565" s="368"/>
      <c r="AH565" s="368"/>
      <c r="AI565" s="368"/>
      <c r="AJ565" s="368"/>
      <c r="AK565" s="368"/>
      <c r="AL565" s="368"/>
      <c r="AM565" s="368"/>
      <c r="AN565" s="368"/>
      <c r="AO565" s="368"/>
      <c r="AP565" s="368"/>
      <c r="AQ565" s="368"/>
      <c r="AR565" s="368"/>
      <c r="AS565" s="368"/>
      <c r="AT565" s="368"/>
      <c r="AU565" s="368"/>
      <c r="AV565" s="368"/>
      <c r="AW565" s="368"/>
      <c r="AX565" s="368"/>
      <c r="AY565" s="368"/>
      <c r="AZ565" s="368"/>
      <c r="BA565" s="368"/>
      <c r="BB565" s="368"/>
      <c r="BC565" s="368"/>
      <c r="BD565" s="368"/>
      <c r="BE565" s="368"/>
      <c r="BF565" s="368"/>
      <c r="BG565" s="368"/>
      <c r="BH565" s="368"/>
      <c r="BI565" s="368"/>
      <c r="BJ565" s="368"/>
      <c r="BK565" s="368"/>
      <c r="BL565" s="368"/>
      <c r="BM565" s="368"/>
      <c r="BN565" s="368"/>
      <c r="BO565" s="368"/>
      <c r="BP565" s="368"/>
      <c r="BQ565" s="368"/>
      <c r="BR565" s="368"/>
      <c r="BS565" s="368"/>
      <c r="BT565" s="368"/>
      <c r="BU565" s="368"/>
      <c r="BV565" s="368"/>
      <c r="BW565" s="368"/>
      <c r="BX565" s="368"/>
      <c r="BY565" s="368"/>
      <c r="BZ565" s="368"/>
      <c r="CA565" s="368"/>
      <c r="CB565" s="368"/>
      <c r="CC565" s="368"/>
      <c r="CD565" s="368"/>
      <c r="CE565" s="368"/>
    </row>
    <row r="566" spans="1:83" s="107" customFormat="1" ht="48" customHeight="1" x14ac:dyDescent="0.25">
      <c r="A566" s="258"/>
      <c r="B566" s="75" t="s">
        <v>11</v>
      </c>
      <c r="C566" s="75"/>
      <c r="D566" s="76"/>
      <c r="E566" s="76"/>
      <c r="F566" s="79"/>
      <c r="G566" s="76"/>
      <c r="H566" s="76"/>
      <c r="I566" s="161"/>
      <c r="J566" s="77"/>
      <c r="K566" s="76"/>
      <c r="L566" s="78"/>
      <c r="M566" s="39"/>
      <c r="N566" s="76"/>
      <c r="O566" s="76">
        <f t="shared" si="685"/>
        <v>0</v>
      </c>
      <c r="P566" s="39" t="e">
        <f t="shared" si="704"/>
        <v>#DIV/0!</v>
      </c>
      <c r="Q566" s="76">
        <f t="shared" si="710"/>
        <v>0</v>
      </c>
      <c r="R566" s="76">
        <f t="shared" si="711"/>
        <v>0</v>
      </c>
      <c r="S566" s="374"/>
      <c r="T566" s="368"/>
      <c r="U566" s="368"/>
      <c r="V566" s="368"/>
      <c r="W566" s="368"/>
      <c r="X566" s="368"/>
      <c r="Y566" s="368"/>
      <c r="Z566" s="368"/>
      <c r="AA566" s="368"/>
      <c r="AB566" s="368"/>
      <c r="AC566" s="368"/>
      <c r="AD566" s="368"/>
      <c r="AE566" s="368"/>
      <c r="AF566" s="368"/>
      <c r="AG566" s="368"/>
      <c r="AH566" s="368"/>
      <c r="AI566" s="368"/>
      <c r="AJ566" s="368"/>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368"/>
      <c r="BG566" s="368"/>
      <c r="BH566" s="368"/>
      <c r="BI566" s="368"/>
      <c r="BJ566" s="368"/>
      <c r="BK566" s="368"/>
      <c r="BL566" s="368"/>
      <c r="BM566" s="368"/>
      <c r="BN566" s="368"/>
      <c r="BO566" s="368"/>
      <c r="BP566" s="368"/>
      <c r="BQ566" s="368"/>
      <c r="BR566" s="368"/>
      <c r="BS566" s="368"/>
      <c r="BT566" s="368"/>
      <c r="BU566" s="368"/>
      <c r="BV566" s="368"/>
      <c r="BW566" s="368"/>
      <c r="BX566" s="368"/>
      <c r="BY566" s="368"/>
      <c r="BZ566" s="368"/>
      <c r="CA566" s="368"/>
      <c r="CB566" s="368"/>
      <c r="CC566" s="368"/>
      <c r="CD566" s="368"/>
      <c r="CE566" s="368"/>
    </row>
    <row r="567" spans="1:83" s="239" customFormat="1" ht="76.5" customHeight="1" x14ac:dyDescent="0.25">
      <c r="A567" s="256" t="s">
        <v>309</v>
      </c>
      <c r="B567" s="69" t="s">
        <v>78</v>
      </c>
      <c r="C567" s="69" t="s">
        <v>17</v>
      </c>
      <c r="D567" s="70">
        <f t="shared" ref="D567:I567" si="716">SUM(D568:D572)</f>
        <v>0</v>
      </c>
      <c r="E567" s="70">
        <f t="shared" si="716"/>
        <v>0</v>
      </c>
      <c r="F567" s="70">
        <f t="shared" si="716"/>
        <v>0</v>
      </c>
      <c r="G567" s="70">
        <f t="shared" si="716"/>
        <v>11520</v>
      </c>
      <c r="H567" s="70">
        <f t="shared" si="716"/>
        <v>11520</v>
      </c>
      <c r="I567" s="71">
        <f t="shared" si="716"/>
        <v>0</v>
      </c>
      <c r="J567" s="72">
        <f>I567/H567</f>
        <v>0</v>
      </c>
      <c r="K567" s="70">
        <f>SUM(K568:K572)</f>
        <v>0</v>
      </c>
      <c r="L567" s="73">
        <f t="shared" si="665"/>
        <v>0</v>
      </c>
      <c r="M567" s="56" t="e">
        <f t="shared" ref="M567:M594" si="717">K567/I567</f>
        <v>#DIV/0!</v>
      </c>
      <c r="N567" s="70">
        <f>SUM(N568:N572)</f>
        <v>11520</v>
      </c>
      <c r="O567" s="70">
        <f t="shared" si="685"/>
        <v>0</v>
      </c>
      <c r="P567" s="73">
        <f t="shared" si="704"/>
        <v>1</v>
      </c>
      <c r="Q567" s="70">
        <f t="shared" si="710"/>
        <v>11520</v>
      </c>
      <c r="R567" s="70">
        <f t="shared" si="711"/>
        <v>0</v>
      </c>
      <c r="S567" s="372" t="s">
        <v>474</v>
      </c>
      <c r="T567" s="365"/>
      <c r="U567" s="365"/>
      <c r="V567" s="365"/>
      <c r="W567" s="365"/>
      <c r="X567" s="365"/>
      <c r="Y567" s="365"/>
      <c r="Z567" s="365"/>
      <c r="AA567" s="365"/>
      <c r="AB567" s="365"/>
      <c r="AC567" s="365"/>
      <c r="AD567" s="365"/>
      <c r="AE567" s="365"/>
      <c r="AF567" s="365"/>
      <c r="AG567" s="365"/>
      <c r="AH567" s="365"/>
      <c r="AI567" s="365"/>
      <c r="AJ567" s="365"/>
      <c r="AK567" s="365"/>
      <c r="AL567" s="365"/>
      <c r="AM567" s="365"/>
      <c r="AN567" s="365"/>
      <c r="AO567" s="365"/>
      <c r="AP567" s="365"/>
      <c r="AQ567" s="365"/>
      <c r="AR567" s="365"/>
      <c r="AS567" s="365"/>
      <c r="AT567" s="365"/>
      <c r="AU567" s="365"/>
      <c r="AV567" s="365"/>
      <c r="AW567" s="365"/>
      <c r="AX567" s="365"/>
      <c r="AY567" s="365"/>
      <c r="AZ567" s="365"/>
      <c r="BA567" s="365"/>
      <c r="BB567" s="365"/>
      <c r="BC567" s="365"/>
      <c r="BD567" s="365"/>
      <c r="BE567" s="365"/>
      <c r="BF567" s="365"/>
      <c r="BG567" s="365"/>
      <c r="BH567" s="365"/>
      <c r="BI567" s="365"/>
      <c r="BJ567" s="365"/>
      <c r="BK567" s="365"/>
      <c r="BL567" s="365"/>
      <c r="BM567" s="365"/>
      <c r="BN567" s="365"/>
      <c r="BO567" s="365"/>
      <c r="BP567" s="365"/>
      <c r="BQ567" s="365"/>
      <c r="BR567" s="365"/>
      <c r="BS567" s="365"/>
      <c r="BT567" s="365"/>
      <c r="BU567" s="365"/>
      <c r="BV567" s="365"/>
      <c r="BW567" s="365"/>
      <c r="BX567" s="365"/>
      <c r="BY567" s="365"/>
      <c r="BZ567" s="365"/>
      <c r="CA567" s="365"/>
      <c r="CB567" s="365"/>
      <c r="CC567" s="365"/>
      <c r="CD567" s="365"/>
      <c r="CE567" s="365"/>
    </row>
    <row r="568" spans="1:83" s="107" customFormat="1" ht="30.75" customHeight="1" x14ac:dyDescent="0.25">
      <c r="A568" s="257"/>
      <c r="B568" s="75" t="s">
        <v>10</v>
      </c>
      <c r="C568" s="75"/>
      <c r="D568" s="76"/>
      <c r="E568" s="76"/>
      <c r="F568" s="79"/>
      <c r="G568" s="76"/>
      <c r="H568" s="79"/>
      <c r="I568" s="161"/>
      <c r="J568" s="77"/>
      <c r="K568" s="76"/>
      <c r="L568" s="78"/>
      <c r="M568" s="39"/>
      <c r="N568" s="76"/>
      <c r="O568" s="79">
        <f t="shared" si="685"/>
        <v>0</v>
      </c>
      <c r="P568" s="39" t="e">
        <f t="shared" si="704"/>
        <v>#DIV/0!</v>
      </c>
      <c r="Q568" s="76">
        <f t="shared" si="710"/>
        <v>0</v>
      </c>
      <c r="R568" s="79">
        <f t="shared" si="711"/>
        <v>0</v>
      </c>
      <c r="S568" s="373"/>
      <c r="T568" s="365"/>
      <c r="U568" s="365"/>
      <c r="V568" s="365"/>
      <c r="W568" s="365"/>
      <c r="X568" s="365"/>
      <c r="Y568" s="365"/>
      <c r="Z568" s="365"/>
      <c r="AA568" s="365"/>
      <c r="AB568" s="365"/>
      <c r="AC568" s="365"/>
      <c r="AD568" s="365"/>
      <c r="AE568" s="365"/>
      <c r="AF568" s="365"/>
      <c r="AG568" s="365"/>
      <c r="AH568" s="365"/>
      <c r="AI568" s="365"/>
      <c r="AJ568" s="365"/>
      <c r="AK568" s="365"/>
      <c r="AL568" s="365"/>
      <c r="AM568" s="365"/>
      <c r="AN568" s="365"/>
      <c r="AO568" s="365"/>
      <c r="AP568" s="365"/>
      <c r="AQ568" s="365"/>
      <c r="AR568" s="365"/>
      <c r="AS568" s="365"/>
      <c r="AT568" s="365"/>
      <c r="AU568" s="365"/>
      <c r="AV568" s="365"/>
      <c r="AW568" s="365"/>
      <c r="AX568" s="365"/>
      <c r="AY568" s="365"/>
      <c r="AZ568" s="365"/>
      <c r="BA568" s="365"/>
      <c r="BB568" s="365"/>
      <c r="BC568" s="365"/>
      <c r="BD568" s="365"/>
      <c r="BE568" s="365"/>
      <c r="BF568" s="365"/>
      <c r="BG568" s="365"/>
      <c r="BH568" s="365"/>
      <c r="BI568" s="365"/>
      <c r="BJ568" s="365"/>
      <c r="BK568" s="365"/>
      <c r="BL568" s="365"/>
      <c r="BM568" s="365"/>
      <c r="BN568" s="365"/>
      <c r="BO568" s="365"/>
      <c r="BP568" s="365"/>
      <c r="BQ568" s="365"/>
      <c r="BR568" s="365"/>
      <c r="BS568" s="365"/>
      <c r="BT568" s="365"/>
      <c r="BU568" s="365"/>
      <c r="BV568" s="365"/>
      <c r="BW568" s="365"/>
      <c r="BX568" s="365"/>
      <c r="BY568" s="365"/>
      <c r="BZ568" s="365"/>
      <c r="CA568" s="365"/>
      <c r="CB568" s="365"/>
      <c r="CC568" s="365"/>
      <c r="CD568" s="365"/>
      <c r="CE568" s="365"/>
    </row>
    <row r="569" spans="1:83" s="107" customFormat="1" ht="53.25" customHeight="1" x14ac:dyDescent="0.25">
      <c r="A569" s="257"/>
      <c r="B569" s="75" t="s">
        <v>8</v>
      </c>
      <c r="C569" s="75"/>
      <c r="D569" s="76"/>
      <c r="E569" s="76"/>
      <c r="F569" s="76"/>
      <c r="G569" s="76"/>
      <c r="H569" s="76"/>
      <c r="I569" s="161"/>
      <c r="J569" s="77"/>
      <c r="K569" s="76"/>
      <c r="L569" s="78"/>
      <c r="M569" s="39"/>
      <c r="N569" s="76"/>
      <c r="O569" s="76">
        <f t="shared" si="685"/>
        <v>0</v>
      </c>
      <c r="P569" s="39" t="e">
        <f t="shared" si="704"/>
        <v>#DIV/0!</v>
      </c>
      <c r="Q569" s="76">
        <f t="shared" si="710"/>
        <v>0</v>
      </c>
      <c r="R569" s="76">
        <f t="shared" si="711"/>
        <v>0</v>
      </c>
      <c r="S569" s="373"/>
      <c r="T569" s="365"/>
      <c r="U569" s="365"/>
      <c r="V569" s="365"/>
      <c r="W569" s="365"/>
      <c r="X569" s="365"/>
      <c r="Y569" s="365"/>
      <c r="Z569" s="365"/>
      <c r="AA569" s="365"/>
      <c r="AB569" s="365"/>
      <c r="AC569" s="365"/>
      <c r="AD569" s="365"/>
      <c r="AE569" s="365"/>
      <c r="AF569" s="365"/>
      <c r="AG569" s="365"/>
      <c r="AH569" s="365"/>
      <c r="AI569" s="365"/>
      <c r="AJ569" s="365"/>
      <c r="AK569" s="365"/>
      <c r="AL569" s="365"/>
      <c r="AM569" s="365"/>
      <c r="AN569" s="365"/>
      <c r="AO569" s="365"/>
      <c r="AP569" s="365"/>
      <c r="AQ569" s="365"/>
      <c r="AR569" s="365"/>
      <c r="AS569" s="365"/>
      <c r="AT569" s="365"/>
      <c r="AU569" s="365"/>
      <c r="AV569" s="365"/>
      <c r="AW569" s="365"/>
      <c r="AX569" s="365"/>
      <c r="AY569" s="365"/>
      <c r="AZ569" s="365"/>
      <c r="BA569" s="365"/>
      <c r="BB569" s="365"/>
      <c r="BC569" s="365"/>
      <c r="BD569" s="365"/>
      <c r="BE569" s="365"/>
      <c r="BF569" s="365"/>
      <c r="BG569" s="365"/>
      <c r="BH569" s="365"/>
      <c r="BI569" s="365"/>
      <c r="BJ569" s="365"/>
      <c r="BK569" s="365"/>
      <c r="BL569" s="365"/>
      <c r="BM569" s="365"/>
      <c r="BN569" s="365"/>
      <c r="BO569" s="365"/>
      <c r="BP569" s="365"/>
      <c r="BQ569" s="365"/>
      <c r="BR569" s="365"/>
      <c r="BS569" s="365"/>
      <c r="BT569" s="365"/>
      <c r="BU569" s="365"/>
      <c r="BV569" s="365"/>
      <c r="BW569" s="365"/>
      <c r="BX569" s="365"/>
      <c r="BY569" s="365"/>
      <c r="BZ569" s="365"/>
      <c r="CA569" s="365"/>
      <c r="CB569" s="365"/>
      <c r="CC569" s="365"/>
      <c r="CD569" s="365"/>
      <c r="CE569" s="365"/>
    </row>
    <row r="570" spans="1:83" s="107" customFormat="1" ht="30.75" customHeight="1" x14ac:dyDescent="0.25">
      <c r="A570" s="257"/>
      <c r="B570" s="80" t="s">
        <v>20</v>
      </c>
      <c r="C570" s="80"/>
      <c r="D570" s="81"/>
      <c r="E570" s="81"/>
      <c r="F570" s="81"/>
      <c r="G570" s="81"/>
      <c r="H570" s="81"/>
      <c r="I570" s="113"/>
      <c r="J570" s="77"/>
      <c r="K570" s="81"/>
      <c r="L570" s="78"/>
      <c r="M570" s="39"/>
      <c r="N570" s="81"/>
      <c r="O570" s="81">
        <f t="shared" si="685"/>
        <v>0</v>
      </c>
      <c r="P570" s="39" t="e">
        <f t="shared" si="704"/>
        <v>#DIV/0!</v>
      </c>
      <c r="Q570" s="81">
        <f t="shared" si="710"/>
        <v>0</v>
      </c>
      <c r="R570" s="81">
        <f t="shared" si="711"/>
        <v>0</v>
      </c>
      <c r="S570" s="373"/>
      <c r="T570" s="365"/>
      <c r="U570" s="365"/>
      <c r="V570" s="365"/>
      <c r="W570" s="365"/>
      <c r="X570" s="365"/>
      <c r="Y570" s="365"/>
      <c r="Z570" s="365"/>
      <c r="AA570" s="365"/>
      <c r="AB570" s="365"/>
      <c r="AC570" s="365"/>
      <c r="AD570" s="365"/>
      <c r="AE570" s="365"/>
      <c r="AF570" s="365"/>
      <c r="AG570" s="365"/>
      <c r="AH570" s="365"/>
      <c r="AI570" s="365"/>
      <c r="AJ570" s="365"/>
      <c r="AK570" s="365"/>
      <c r="AL570" s="365"/>
      <c r="AM570" s="365"/>
      <c r="AN570" s="365"/>
      <c r="AO570" s="365"/>
      <c r="AP570" s="365"/>
      <c r="AQ570" s="365"/>
      <c r="AR570" s="365"/>
      <c r="AS570" s="365"/>
      <c r="AT570" s="365"/>
      <c r="AU570" s="365"/>
      <c r="AV570" s="365"/>
      <c r="AW570" s="365"/>
      <c r="AX570" s="365"/>
      <c r="AY570" s="365"/>
      <c r="AZ570" s="365"/>
      <c r="BA570" s="365"/>
      <c r="BB570" s="365"/>
      <c r="BC570" s="365"/>
      <c r="BD570" s="365"/>
      <c r="BE570" s="365"/>
      <c r="BF570" s="365"/>
      <c r="BG570" s="365"/>
      <c r="BH570" s="365"/>
      <c r="BI570" s="365"/>
      <c r="BJ570" s="365"/>
      <c r="BK570" s="365"/>
      <c r="BL570" s="365"/>
      <c r="BM570" s="365"/>
      <c r="BN570" s="365"/>
      <c r="BO570" s="365"/>
      <c r="BP570" s="365"/>
      <c r="BQ570" s="365"/>
      <c r="BR570" s="365"/>
      <c r="BS570" s="365"/>
      <c r="BT570" s="365"/>
      <c r="BU570" s="365"/>
      <c r="BV570" s="365"/>
      <c r="BW570" s="365"/>
      <c r="BX570" s="365"/>
      <c r="BY570" s="365"/>
      <c r="BZ570" s="365"/>
      <c r="CA570" s="365"/>
      <c r="CB570" s="365"/>
      <c r="CC570" s="365"/>
      <c r="CD570" s="365"/>
      <c r="CE570" s="365"/>
    </row>
    <row r="571" spans="1:83" s="107" customFormat="1" ht="51.75" customHeight="1" x14ac:dyDescent="0.25">
      <c r="A571" s="257"/>
      <c r="B571" s="75" t="s">
        <v>22</v>
      </c>
      <c r="C571" s="75"/>
      <c r="D571" s="76"/>
      <c r="E571" s="76"/>
      <c r="F571" s="79"/>
      <c r="G571" s="76"/>
      <c r="H571" s="79"/>
      <c r="I571" s="161"/>
      <c r="J571" s="77"/>
      <c r="K571" s="76"/>
      <c r="L571" s="78"/>
      <c r="M571" s="39"/>
      <c r="N571" s="76"/>
      <c r="O571" s="79">
        <f t="shared" si="685"/>
        <v>0</v>
      </c>
      <c r="P571" s="39" t="e">
        <f t="shared" si="704"/>
        <v>#DIV/0!</v>
      </c>
      <c r="Q571" s="76">
        <f t="shared" si="710"/>
        <v>0</v>
      </c>
      <c r="R571" s="79">
        <f t="shared" si="711"/>
        <v>0</v>
      </c>
      <c r="S571" s="373"/>
      <c r="T571" s="365"/>
      <c r="U571" s="365"/>
      <c r="V571" s="365"/>
      <c r="W571" s="365"/>
      <c r="X571" s="365"/>
      <c r="Y571" s="365"/>
      <c r="Z571" s="365"/>
      <c r="AA571" s="365"/>
      <c r="AB571" s="365"/>
      <c r="AC571" s="365"/>
      <c r="AD571" s="365"/>
      <c r="AE571" s="365"/>
      <c r="AF571" s="365"/>
      <c r="AG571" s="365"/>
      <c r="AH571" s="365"/>
      <c r="AI571" s="365"/>
      <c r="AJ571" s="365"/>
      <c r="AK571" s="365"/>
      <c r="AL571" s="365"/>
      <c r="AM571" s="365"/>
      <c r="AN571" s="365"/>
      <c r="AO571" s="365"/>
      <c r="AP571" s="365"/>
      <c r="AQ571" s="365"/>
      <c r="AR571" s="365"/>
      <c r="AS571" s="365"/>
      <c r="AT571" s="365"/>
      <c r="AU571" s="365"/>
      <c r="AV571" s="365"/>
      <c r="AW571" s="365"/>
      <c r="AX571" s="365"/>
      <c r="AY571" s="365"/>
      <c r="AZ571" s="365"/>
      <c r="BA571" s="365"/>
      <c r="BB571" s="365"/>
      <c r="BC571" s="365"/>
      <c r="BD571" s="365"/>
      <c r="BE571" s="365"/>
      <c r="BF571" s="365"/>
      <c r="BG571" s="365"/>
      <c r="BH571" s="365"/>
      <c r="BI571" s="365"/>
      <c r="BJ571" s="365"/>
      <c r="BK571" s="365"/>
      <c r="BL571" s="365"/>
      <c r="BM571" s="365"/>
      <c r="BN571" s="365"/>
      <c r="BO571" s="365"/>
      <c r="BP571" s="365"/>
      <c r="BQ571" s="365"/>
      <c r="BR571" s="365"/>
      <c r="BS571" s="365"/>
      <c r="BT571" s="365"/>
      <c r="BU571" s="365"/>
      <c r="BV571" s="365"/>
      <c r="BW571" s="365"/>
      <c r="BX571" s="365"/>
      <c r="BY571" s="365"/>
      <c r="BZ571" s="365"/>
      <c r="CA571" s="365"/>
      <c r="CB571" s="365"/>
      <c r="CC571" s="365"/>
      <c r="CD571" s="365"/>
      <c r="CE571" s="365"/>
    </row>
    <row r="572" spans="1:83" s="107" customFormat="1" ht="70.5" customHeight="1" x14ac:dyDescent="0.25">
      <c r="A572" s="258"/>
      <c r="B572" s="75" t="s">
        <v>11</v>
      </c>
      <c r="C572" s="75"/>
      <c r="D572" s="76"/>
      <c r="E572" s="76"/>
      <c r="F572" s="79"/>
      <c r="G572" s="76">
        <v>11520</v>
      </c>
      <c r="H572" s="76">
        <v>11520</v>
      </c>
      <c r="I572" s="76"/>
      <c r="J572" s="77">
        <f>I572/H572</f>
        <v>0</v>
      </c>
      <c r="K572" s="76">
        <f>I572</f>
        <v>0</v>
      </c>
      <c r="L572" s="78">
        <f t="shared" si="665"/>
        <v>0</v>
      </c>
      <c r="M572" s="39" t="e">
        <f t="shared" si="717"/>
        <v>#DIV/0!</v>
      </c>
      <c r="N572" s="76">
        <f>H572</f>
        <v>11520</v>
      </c>
      <c r="O572" s="76">
        <f t="shared" si="685"/>
        <v>0</v>
      </c>
      <c r="P572" s="78">
        <f t="shared" si="704"/>
        <v>1</v>
      </c>
      <c r="Q572" s="76">
        <f t="shared" si="710"/>
        <v>11520</v>
      </c>
      <c r="R572" s="76">
        <f t="shared" si="711"/>
        <v>0</v>
      </c>
      <c r="S572" s="374"/>
      <c r="T572" s="365"/>
      <c r="U572" s="365"/>
      <c r="V572" s="365"/>
      <c r="W572" s="365"/>
      <c r="X572" s="365"/>
      <c r="Y572" s="365"/>
      <c r="Z572" s="365"/>
      <c r="AA572" s="365"/>
      <c r="AB572" s="365"/>
      <c r="AC572" s="365"/>
      <c r="AD572" s="365"/>
      <c r="AE572" s="365"/>
      <c r="AF572" s="365"/>
      <c r="AG572" s="365"/>
      <c r="AH572" s="365"/>
      <c r="AI572" s="365"/>
      <c r="AJ572" s="365"/>
      <c r="AK572" s="365"/>
      <c r="AL572" s="365"/>
      <c r="AM572" s="365"/>
      <c r="AN572" s="365"/>
      <c r="AO572" s="365"/>
      <c r="AP572" s="365"/>
      <c r="AQ572" s="365"/>
      <c r="AR572" s="365"/>
      <c r="AS572" s="365"/>
      <c r="AT572" s="365"/>
      <c r="AU572" s="365"/>
      <c r="AV572" s="365"/>
      <c r="AW572" s="365"/>
      <c r="AX572" s="365"/>
      <c r="AY572" s="365"/>
      <c r="AZ572" s="365"/>
      <c r="BA572" s="365"/>
      <c r="BB572" s="365"/>
      <c r="BC572" s="365"/>
      <c r="BD572" s="365"/>
      <c r="BE572" s="365"/>
      <c r="BF572" s="365"/>
      <c r="BG572" s="365"/>
      <c r="BH572" s="365"/>
      <c r="BI572" s="365"/>
      <c r="BJ572" s="365"/>
      <c r="BK572" s="365"/>
      <c r="BL572" s="365"/>
      <c r="BM572" s="365"/>
      <c r="BN572" s="365"/>
      <c r="BO572" s="365"/>
      <c r="BP572" s="365"/>
      <c r="BQ572" s="365"/>
      <c r="BR572" s="365"/>
      <c r="BS572" s="365"/>
      <c r="BT572" s="365"/>
      <c r="BU572" s="365"/>
      <c r="BV572" s="365"/>
      <c r="BW572" s="365"/>
      <c r="BX572" s="365"/>
      <c r="BY572" s="365"/>
      <c r="BZ572" s="365"/>
      <c r="CA572" s="365"/>
      <c r="CB572" s="365"/>
      <c r="CC572" s="365"/>
      <c r="CD572" s="365"/>
      <c r="CE572" s="365"/>
    </row>
    <row r="573" spans="1:83" s="239" customFormat="1" ht="93" x14ac:dyDescent="0.25">
      <c r="A573" s="256" t="s">
        <v>211</v>
      </c>
      <c r="B573" s="69" t="s">
        <v>475</v>
      </c>
      <c r="C573" s="69" t="s">
        <v>17</v>
      </c>
      <c r="D573" s="70">
        <f t="shared" ref="D573:I573" si="718">SUM(D574:D578)</f>
        <v>0</v>
      </c>
      <c r="E573" s="70">
        <f t="shared" si="718"/>
        <v>0</v>
      </c>
      <c r="F573" s="70">
        <f t="shared" si="718"/>
        <v>0</v>
      </c>
      <c r="G573" s="70">
        <f t="shared" si="718"/>
        <v>2452</v>
      </c>
      <c r="H573" s="70">
        <f t="shared" si="718"/>
        <v>2452</v>
      </c>
      <c r="I573" s="71">
        <f t="shared" si="718"/>
        <v>0</v>
      </c>
      <c r="J573" s="72">
        <f>I573/H573</f>
        <v>0</v>
      </c>
      <c r="K573" s="70">
        <f>SUM(K574:K578)</f>
        <v>0</v>
      </c>
      <c r="L573" s="73">
        <f t="shared" si="665"/>
        <v>0</v>
      </c>
      <c r="M573" s="56" t="e">
        <f t="shared" si="717"/>
        <v>#DIV/0!</v>
      </c>
      <c r="N573" s="70">
        <f>SUM(N574:N578)</f>
        <v>2452</v>
      </c>
      <c r="O573" s="70">
        <f t="shared" si="685"/>
        <v>0</v>
      </c>
      <c r="P573" s="73">
        <f t="shared" si="704"/>
        <v>1</v>
      </c>
      <c r="Q573" s="70">
        <f t="shared" si="710"/>
        <v>2452</v>
      </c>
      <c r="R573" s="70">
        <f t="shared" si="711"/>
        <v>0</v>
      </c>
      <c r="S573" s="372" t="s">
        <v>476</v>
      </c>
    </row>
    <row r="574" spans="1:83" s="107" customFormat="1" ht="34.5" customHeight="1" x14ac:dyDescent="0.25">
      <c r="A574" s="257"/>
      <c r="B574" s="75" t="s">
        <v>10</v>
      </c>
      <c r="C574" s="75"/>
      <c r="D574" s="76"/>
      <c r="E574" s="76"/>
      <c r="F574" s="79"/>
      <c r="G574" s="76"/>
      <c r="H574" s="79"/>
      <c r="I574" s="161"/>
      <c r="J574" s="77"/>
      <c r="K574" s="76"/>
      <c r="L574" s="78"/>
      <c r="M574" s="39"/>
      <c r="N574" s="76"/>
      <c r="O574" s="79">
        <f t="shared" si="685"/>
        <v>0</v>
      </c>
      <c r="P574" s="39" t="e">
        <f t="shared" si="704"/>
        <v>#DIV/0!</v>
      </c>
      <c r="Q574" s="76">
        <f t="shared" si="710"/>
        <v>0</v>
      </c>
      <c r="R574" s="79">
        <f t="shared" si="711"/>
        <v>0</v>
      </c>
      <c r="S574" s="373"/>
    </row>
    <row r="575" spans="1:83" s="107" customFormat="1" ht="34.5" customHeight="1" x14ac:dyDescent="0.25">
      <c r="A575" s="257"/>
      <c r="B575" s="75" t="s">
        <v>8</v>
      </c>
      <c r="C575" s="75"/>
      <c r="D575" s="76"/>
      <c r="E575" s="76"/>
      <c r="F575" s="76"/>
      <c r="G575" s="76"/>
      <c r="H575" s="76"/>
      <c r="I575" s="161"/>
      <c r="J575" s="77"/>
      <c r="K575" s="76"/>
      <c r="L575" s="78"/>
      <c r="M575" s="39"/>
      <c r="N575" s="76"/>
      <c r="O575" s="76">
        <f t="shared" si="685"/>
        <v>0</v>
      </c>
      <c r="P575" s="39" t="e">
        <f t="shared" si="704"/>
        <v>#DIV/0!</v>
      </c>
      <c r="Q575" s="76">
        <f t="shared" si="710"/>
        <v>0</v>
      </c>
      <c r="R575" s="76">
        <f t="shared" si="711"/>
        <v>0</v>
      </c>
      <c r="S575" s="373"/>
    </row>
    <row r="576" spans="1:83" s="107" customFormat="1" ht="34.5" customHeight="1" x14ac:dyDescent="0.25">
      <c r="A576" s="257"/>
      <c r="B576" s="80" t="s">
        <v>20</v>
      </c>
      <c r="C576" s="80"/>
      <c r="D576" s="81"/>
      <c r="E576" s="81"/>
      <c r="F576" s="81"/>
      <c r="G576" s="81"/>
      <c r="H576" s="81"/>
      <c r="I576" s="113"/>
      <c r="J576" s="77"/>
      <c r="K576" s="81"/>
      <c r="L576" s="78"/>
      <c r="M576" s="39"/>
      <c r="N576" s="81"/>
      <c r="O576" s="81">
        <f t="shared" si="685"/>
        <v>0</v>
      </c>
      <c r="P576" s="39" t="e">
        <f t="shared" si="704"/>
        <v>#DIV/0!</v>
      </c>
      <c r="Q576" s="81">
        <f t="shared" si="710"/>
        <v>0</v>
      </c>
      <c r="R576" s="81">
        <f t="shared" si="711"/>
        <v>0</v>
      </c>
      <c r="S576" s="373"/>
    </row>
    <row r="577" spans="1:19" s="107" customFormat="1" ht="34.5" customHeight="1" x14ac:dyDescent="0.25">
      <c r="A577" s="257"/>
      <c r="B577" s="75" t="s">
        <v>22</v>
      </c>
      <c r="C577" s="75"/>
      <c r="D577" s="76"/>
      <c r="E577" s="76"/>
      <c r="F577" s="79"/>
      <c r="G577" s="76"/>
      <c r="H577" s="79"/>
      <c r="I577" s="161"/>
      <c r="J577" s="77"/>
      <c r="K577" s="76"/>
      <c r="L577" s="78"/>
      <c r="M577" s="39"/>
      <c r="N577" s="76"/>
      <c r="O577" s="79">
        <f t="shared" si="685"/>
        <v>0</v>
      </c>
      <c r="P577" s="39" t="e">
        <f t="shared" si="704"/>
        <v>#DIV/0!</v>
      </c>
      <c r="Q577" s="76">
        <f t="shared" si="710"/>
        <v>0</v>
      </c>
      <c r="R577" s="79">
        <f t="shared" si="711"/>
        <v>0</v>
      </c>
      <c r="S577" s="373"/>
    </row>
    <row r="578" spans="1:19" s="107" customFormat="1" ht="34.5" customHeight="1" x14ac:dyDescent="0.25">
      <c r="A578" s="258"/>
      <c r="B578" s="75" t="s">
        <v>11</v>
      </c>
      <c r="C578" s="75"/>
      <c r="D578" s="76"/>
      <c r="E578" s="76"/>
      <c r="F578" s="79"/>
      <c r="G578" s="76">
        <v>2452</v>
      </c>
      <c r="H578" s="76">
        <v>2452</v>
      </c>
      <c r="I578" s="76"/>
      <c r="J578" s="77">
        <f>I578/H578</f>
        <v>0</v>
      </c>
      <c r="K578" s="76">
        <f>I578</f>
        <v>0</v>
      </c>
      <c r="L578" s="78">
        <f t="shared" ref="L578:L594" si="719">K578/H578</f>
        <v>0</v>
      </c>
      <c r="M578" s="39" t="e">
        <f t="shared" si="717"/>
        <v>#DIV/0!</v>
      </c>
      <c r="N578" s="76">
        <f>H578</f>
        <v>2452</v>
      </c>
      <c r="O578" s="76">
        <f t="shared" si="685"/>
        <v>0</v>
      </c>
      <c r="P578" s="78">
        <f t="shared" si="704"/>
        <v>1</v>
      </c>
      <c r="Q578" s="76">
        <f t="shared" si="710"/>
        <v>2452</v>
      </c>
      <c r="R578" s="76">
        <f t="shared" si="711"/>
        <v>0</v>
      </c>
      <c r="S578" s="374"/>
    </row>
    <row r="579" spans="1:19" s="245" customFormat="1" ht="69.75" x14ac:dyDescent="0.25">
      <c r="A579" s="256" t="s">
        <v>310</v>
      </c>
      <c r="B579" s="69" t="s">
        <v>79</v>
      </c>
      <c r="C579" s="69" t="s">
        <v>17</v>
      </c>
      <c r="D579" s="70">
        <f t="shared" ref="D579:I579" si="720">SUM(D580:D584)</f>
        <v>0</v>
      </c>
      <c r="E579" s="70">
        <f t="shared" si="720"/>
        <v>0</v>
      </c>
      <c r="F579" s="70">
        <f t="shared" si="720"/>
        <v>0</v>
      </c>
      <c r="G579" s="70">
        <f t="shared" si="720"/>
        <v>41132</v>
      </c>
      <c r="H579" s="70">
        <f t="shared" si="720"/>
        <v>41132</v>
      </c>
      <c r="I579" s="70">
        <f t="shared" si="720"/>
        <v>32.159999999999997</v>
      </c>
      <c r="J579" s="221">
        <f>I579/H579</f>
        <v>1E-3</v>
      </c>
      <c r="K579" s="70">
        <f>SUM(K580:K584)</f>
        <v>32.159999999999997</v>
      </c>
      <c r="L579" s="189">
        <f t="shared" si="719"/>
        <v>1E-3</v>
      </c>
      <c r="M579" s="73">
        <f t="shared" si="717"/>
        <v>1</v>
      </c>
      <c r="N579" s="70">
        <f>SUM(N580:N584)</f>
        <v>41132</v>
      </c>
      <c r="O579" s="70">
        <f t="shared" si="685"/>
        <v>0</v>
      </c>
      <c r="P579" s="73">
        <f t="shared" si="704"/>
        <v>1</v>
      </c>
      <c r="Q579" s="70">
        <f t="shared" si="710"/>
        <v>41099.839999999997</v>
      </c>
      <c r="R579" s="70">
        <f t="shared" si="711"/>
        <v>0</v>
      </c>
      <c r="S579" s="372" t="s">
        <v>479</v>
      </c>
    </row>
    <row r="580" spans="1:19" s="107" customFormat="1" ht="34.5" customHeight="1" x14ac:dyDescent="0.25">
      <c r="A580" s="257"/>
      <c r="B580" s="75" t="s">
        <v>10</v>
      </c>
      <c r="C580" s="75"/>
      <c r="D580" s="76"/>
      <c r="E580" s="76"/>
      <c r="F580" s="79"/>
      <c r="G580" s="76"/>
      <c r="H580" s="79"/>
      <c r="I580" s="79"/>
      <c r="J580" s="77"/>
      <c r="K580" s="76"/>
      <c r="L580" s="78"/>
      <c r="M580" s="78"/>
      <c r="N580" s="76"/>
      <c r="O580" s="79">
        <f t="shared" si="685"/>
        <v>0</v>
      </c>
      <c r="P580" s="39" t="e">
        <f t="shared" si="704"/>
        <v>#DIV/0!</v>
      </c>
      <c r="Q580" s="76">
        <f t="shared" si="710"/>
        <v>0</v>
      </c>
      <c r="R580" s="79">
        <f t="shared" si="711"/>
        <v>0</v>
      </c>
      <c r="S580" s="373"/>
    </row>
    <row r="581" spans="1:19" s="107" customFormat="1" ht="34.5" customHeight="1" x14ac:dyDescent="0.25">
      <c r="A581" s="257"/>
      <c r="B581" s="75" t="s">
        <v>8</v>
      </c>
      <c r="C581" s="75"/>
      <c r="D581" s="76"/>
      <c r="E581" s="76"/>
      <c r="F581" s="76"/>
      <c r="G581" s="76"/>
      <c r="H581" s="76"/>
      <c r="I581" s="76"/>
      <c r="J581" s="77"/>
      <c r="K581" s="76"/>
      <c r="L581" s="78"/>
      <c r="M581" s="78"/>
      <c r="N581" s="76"/>
      <c r="O581" s="76">
        <f t="shared" si="685"/>
        <v>0</v>
      </c>
      <c r="P581" s="39" t="e">
        <f t="shared" si="704"/>
        <v>#DIV/0!</v>
      </c>
      <c r="Q581" s="76">
        <f t="shared" si="710"/>
        <v>0</v>
      </c>
      <c r="R581" s="76">
        <f t="shared" si="711"/>
        <v>0</v>
      </c>
      <c r="S581" s="373"/>
    </row>
    <row r="582" spans="1:19" s="107" customFormat="1" ht="34.5" customHeight="1" x14ac:dyDescent="0.25">
      <c r="A582" s="257"/>
      <c r="B582" s="80" t="s">
        <v>20</v>
      </c>
      <c r="C582" s="80"/>
      <c r="D582" s="81"/>
      <c r="E582" s="81"/>
      <c r="F582" s="81"/>
      <c r="G582" s="81"/>
      <c r="H582" s="81"/>
      <c r="I582" s="81"/>
      <c r="J582" s="77"/>
      <c r="K582" s="81"/>
      <c r="L582" s="78"/>
      <c r="M582" s="78"/>
      <c r="N582" s="81"/>
      <c r="O582" s="81">
        <f t="shared" si="685"/>
        <v>0</v>
      </c>
      <c r="P582" s="39" t="e">
        <f t="shared" si="704"/>
        <v>#DIV/0!</v>
      </c>
      <c r="Q582" s="81">
        <f t="shared" si="710"/>
        <v>0</v>
      </c>
      <c r="R582" s="81">
        <f t="shared" si="711"/>
        <v>0</v>
      </c>
      <c r="S582" s="373"/>
    </row>
    <row r="583" spans="1:19" s="107" customFormat="1" ht="34.5" customHeight="1" x14ac:dyDescent="0.25">
      <c r="A583" s="257"/>
      <c r="B583" s="75" t="s">
        <v>22</v>
      </c>
      <c r="C583" s="75"/>
      <c r="D583" s="76"/>
      <c r="E583" s="76"/>
      <c r="F583" s="79"/>
      <c r="G583" s="76"/>
      <c r="H583" s="79"/>
      <c r="I583" s="79"/>
      <c r="J583" s="77"/>
      <c r="K583" s="76"/>
      <c r="L583" s="78"/>
      <c r="M583" s="78"/>
      <c r="N583" s="76"/>
      <c r="O583" s="79">
        <f t="shared" si="685"/>
        <v>0</v>
      </c>
      <c r="P583" s="39" t="e">
        <f t="shared" si="704"/>
        <v>#DIV/0!</v>
      </c>
      <c r="Q583" s="76">
        <f t="shared" si="710"/>
        <v>0</v>
      </c>
      <c r="R583" s="79">
        <f t="shared" si="711"/>
        <v>0</v>
      </c>
      <c r="S583" s="373"/>
    </row>
    <row r="584" spans="1:19" s="107" customFormat="1" ht="34.5" customHeight="1" collapsed="1" x14ac:dyDescent="0.25">
      <c r="A584" s="258"/>
      <c r="B584" s="75" t="s">
        <v>11</v>
      </c>
      <c r="C584" s="75"/>
      <c r="D584" s="76"/>
      <c r="E584" s="76"/>
      <c r="F584" s="79"/>
      <c r="G584" s="76">
        <v>41132</v>
      </c>
      <c r="H584" s="76">
        <v>41132</v>
      </c>
      <c r="I584" s="76">
        <v>32.159999999999997</v>
      </c>
      <c r="J584" s="204">
        <f>I584/H584</f>
        <v>1E-3</v>
      </c>
      <c r="K584" s="76">
        <f>I584</f>
        <v>32.159999999999997</v>
      </c>
      <c r="L584" s="184">
        <f t="shared" si="719"/>
        <v>1E-3</v>
      </c>
      <c r="M584" s="78">
        <f t="shared" si="717"/>
        <v>1</v>
      </c>
      <c r="N584" s="76">
        <f>H584</f>
        <v>41132</v>
      </c>
      <c r="O584" s="76">
        <f t="shared" si="685"/>
        <v>0</v>
      </c>
      <c r="P584" s="78">
        <f t="shared" si="704"/>
        <v>1</v>
      </c>
      <c r="Q584" s="76">
        <f t="shared" si="710"/>
        <v>41099.839999999997</v>
      </c>
      <c r="R584" s="76">
        <f t="shared" si="711"/>
        <v>0</v>
      </c>
      <c r="S584" s="374"/>
    </row>
    <row r="585" spans="1:19" s="239" customFormat="1" ht="116.25" x14ac:dyDescent="0.25">
      <c r="A585" s="256" t="s">
        <v>212</v>
      </c>
      <c r="B585" s="69" t="s">
        <v>181</v>
      </c>
      <c r="C585" s="69" t="s">
        <v>17</v>
      </c>
      <c r="D585" s="70">
        <f t="shared" ref="D585:I585" si="721">SUM(D586:D590)</f>
        <v>0</v>
      </c>
      <c r="E585" s="70">
        <f t="shared" si="721"/>
        <v>0</v>
      </c>
      <c r="F585" s="70">
        <f t="shared" si="721"/>
        <v>0</v>
      </c>
      <c r="G585" s="70">
        <f t="shared" si="721"/>
        <v>750</v>
      </c>
      <c r="H585" s="70">
        <f t="shared" si="721"/>
        <v>750</v>
      </c>
      <c r="I585" s="71">
        <f t="shared" si="721"/>
        <v>99.3</v>
      </c>
      <c r="J585" s="72">
        <f>I585/H585</f>
        <v>0.13</v>
      </c>
      <c r="K585" s="70">
        <f>SUM(K586:K590)</f>
        <v>99.3</v>
      </c>
      <c r="L585" s="73">
        <f t="shared" si="719"/>
        <v>0.13</v>
      </c>
      <c r="M585" s="73">
        <f t="shared" si="717"/>
        <v>1</v>
      </c>
      <c r="N585" s="70">
        <f>SUM(N586:N590)</f>
        <v>750</v>
      </c>
      <c r="O585" s="70">
        <f t="shared" si="685"/>
        <v>0</v>
      </c>
      <c r="P585" s="73">
        <f t="shared" si="704"/>
        <v>1</v>
      </c>
      <c r="Q585" s="70">
        <f t="shared" si="710"/>
        <v>650.70000000000005</v>
      </c>
      <c r="R585" s="70">
        <f t="shared" si="711"/>
        <v>0</v>
      </c>
      <c r="S585" s="372" t="s">
        <v>480</v>
      </c>
    </row>
    <row r="586" spans="1:19" s="107" customFormat="1" ht="34.5" customHeight="1" x14ac:dyDescent="0.25">
      <c r="A586" s="257"/>
      <c r="B586" s="75" t="s">
        <v>10</v>
      </c>
      <c r="C586" s="75"/>
      <c r="D586" s="76"/>
      <c r="E586" s="76"/>
      <c r="F586" s="79"/>
      <c r="G586" s="76"/>
      <c r="H586" s="79"/>
      <c r="I586" s="161"/>
      <c r="J586" s="77"/>
      <c r="K586" s="76"/>
      <c r="L586" s="78"/>
      <c r="M586" s="78"/>
      <c r="N586" s="76"/>
      <c r="O586" s="79">
        <f t="shared" si="685"/>
        <v>0</v>
      </c>
      <c r="P586" s="39" t="e">
        <f t="shared" si="704"/>
        <v>#DIV/0!</v>
      </c>
      <c r="Q586" s="76">
        <f t="shared" si="710"/>
        <v>0</v>
      </c>
      <c r="R586" s="79">
        <f t="shared" si="711"/>
        <v>0</v>
      </c>
      <c r="S586" s="373"/>
    </row>
    <row r="587" spans="1:19" s="107" customFormat="1" ht="34.5" customHeight="1" x14ac:dyDescent="0.25">
      <c r="A587" s="257"/>
      <c r="B587" s="75" t="s">
        <v>8</v>
      </c>
      <c r="C587" s="75"/>
      <c r="D587" s="76"/>
      <c r="E587" s="76"/>
      <c r="F587" s="76"/>
      <c r="G587" s="76"/>
      <c r="H587" s="76"/>
      <c r="I587" s="161"/>
      <c r="J587" s="77"/>
      <c r="K587" s="76"/>
      <c r="L587" s="78"/>
      <c r="M587" s="78"/>
      <c r="N587" s="76"/>
      <c r="O587" s="76">
        <f t="shared" si="685"/>
        <v>0</v>
      </c>
      <c r="P587" s="39" t="e">
        <f t="shared" si="704"/>
        <v>#DIV/0!</v>
      </c>
      <c r="Q587" s="76">
        <f t="shared" si="710"/>
        <v>0</v>
      </c>
      <c r="R587" s="76">
        <f t="shared" si="711"/>
        <v>0</v>
      </c>
      <c r="S587" s="373"/>
    </row>
    <row r="588" spans="1:19" s="107" customFormat="1" ht="34.5" customHeight="1" x14ac:dyDescent="0.25">
      <c r="A588" s="257"/>
      <c r="B588" s="80" t="s">
        <v>20</v>
      </c>
      <c r="C588" s="80"/>
      <c r="D588" s="81"/>
      <c r="E588" s="81"/>
      <c r="F588" s="81"/>
      <c r="G588" s="81"/>
      <c r="H588" s="81"/>
      <c r="I588" s="113"/>
      <c r="J588" s="77"/>
      <c r="K588" s="81"/>
      <c r="L588" s="78"/>
      <c r="M588" s="78"/>
      <c r="N588" s="81"/>
      <c r="O588" s="81">
        <f t="shared" si="685"/>
        <v>0</v>
      </c>
      <c r="P588" s="39" t="e">
        <f t="shared" si="704"/>
        <v>#DIV/0!</v>
      </c>
      <c r="Q588" s="81">
        <f t="shared" si="710"/>
        <v>0</v>
      </c>
      <c r="R588" s="81">
        <f t="shared" si="711"/>
        <v>0</v>
      </c>
      <c r="S588" s="373"/>
    </row>
    <row r="589" spans="1:19" s="107" customFormat="1" ht="34.5" customHeight="1" x14ac:dyDescent="0.25">
      <c r="A589" s="257"/>
      <c r="B589" s="75" t="s">
        <v>22</v>
      </c>
      <c r="C589" s="75"/>
      <c r="D589" s="76"/>
      <c r="E589" s="76"/>
      <c r="F589" s="79"/>
      <c r="G589" s="76"/>
      <c r="H589" s="79"/>
      <c r="I589" s="161"/>
      <c r="J589" s="77"/>
      <c r="K589" s="76"/>
      <c r="L589" s="78"/>
      <c r="M589" s="78"/>
      <c r="N589" s="76"/>
      <c r="O589" s="79">
        <f t="shared" si="685"/>
        <v>0</v>
      </c>
      <c r="P589" s="39" t="e">
        <f t="shared" si="704"/>
        <v>#DIV/0!</v>
      </c>
      <c r="Q589" s="76">
        <f t="shared" si="710"/>
        <v>0</v>
      </c>
      <c r="R589" s="79">
        <f t="shared" si="711"/>
        <v>0</v>
      </c>
      <c r="S589" s="373"/>
    </row>
    <row r="590" spans="1:19" s="107" customFormat="1" ht="34.5" customHeight="1" x14ac:dyDescent="0.25">
      <c r="A590" s="258"/>
      <c r="B590" s="75" t="s">
        <v>11</v>
      </c>
      <c r="C590" s="75"/>
      <c r="D590" s="76"/>
      <c r="E590" s="76"/>
      <c r="F590" s="79"/>
      <c r="G590" s="76">
        <v>750</v>
      </c>
      <c r="H590" s="76">
        <v>750</v>
      </c>
      <c r="I590" s="76">
        <v>99.3</v>
      </c>
      <c r="J590" s="77">
        <f>I590/H590</f>
        <v>0.13</v>
      </c>
      <c r="K590" s="76">
        <v>99.3</v>
      </c>
      <c r="L590" s="78">
        <f t="shared" si="719"/>
        <v>0.13</v>
      </c>
      <c r="M590" s="78">
        <f t="shared" si="717"/>
        <v>1</v>
      </c>
      <c r="N590" s="76">
        <f>H590</f>
        <v>750</v>
      </c>
      <c r="O590" s="76">
        <f t="shared" si="685"/>
        <v>0</v>
      </c>
      <c r="P590" s="78">
        <f t="shared" si="704"/>
        <v>1</v>
      </c>
      <c r="Q590" s="76">
        <f t="shared" si="710"/>
        <v>650.70000000000005</v>
      </c>
      <c r="R590" s="76">
        <f t="shared" si="711"/>
        <v>0</v>
      </c>
      <c r="S590" s="374"/>
    </row>
    <row r="591" spans="1:19" s="239" customFormat="1" ht="69.75" x14ac:dyDescent="0.25">
      <c r="A591" s="256" t="s">
        <v>213</v>
      </c>
      <c r="B591" s="69" t="s">
        <v>246</v>
      </c>
      <c r="C591" s="69" t="s">
        <v>17</v>
      </c>
      <c r="D591" s="70">
        <f t="shared" ref="D591:I591" si="722">SUM(D592:D596)</f>
        <v>0</v>
      </c>
      <c r="E591" s="70">
        <f t="shared" si="722"/>
        <v>0</v>
      </c>
      <c r="F591" s="70">
        <f t="shared" si="722"/>
        <v>0</v>
      </c>
      <c r="G591" s="70">
        <f t="shared" si="722"/>
        <v>275.14</v>
      </c>
      <c r="H591" s="70">
        <f t="shared" si="722"/>
        <v>275.14</v>
      </c>
      <c r="I591" s="71">
        <f t="shared" si="722"/>
        <v>0</v>
      </c>
      <c r="J591" s="72">
        <f>I591/H591</f>
        <v>0</v>
      </c>
      <c r="K591" s="70">
        <f>SUM(K592:K596)</f>
        <v>0</v>
      </c>
      <c r="L591" s="73">
        <f t="shared" si="719"/>
        <v>0</v>
      </c>
      <c r="M591" s="56" t="e">
        <f t="shared" si="717"/>
        <v>#DIV/0!</v>
      </c>
      <c r="N591" s="70">
        <f>SUM(N592:N596)</f>
        <v>275.14</v>
      </c>
      <c r="O591" s="70">
        <f t="shared" si="685"/>
        <v>0</v>
      </c>
      <c r="P591" s="73">
        <f t="shared" si="704"/>
        <v>1</v>
      </c>
      <c r="Q591" s="70">
        <f t="shared" si="710"/>
        <v>275.14</v>
      </c>
      <c r="R591" s="70">
        <f t="shared" si="711"/>
        <v>0</v>
      </c>
      <c r="S591" s="372" t="s">
        <v>481</v>
      </c>
    </row>
    <row r="592" spans="1:19" s="107" customFormat="1" ht="34.5" customHeight="1" x14ac:dyDescent="0.25">
      <c r="A592" s="257"/>
      <c r="B592" s="75" t="s">
        <v>10</v>
      </c>
      <c r="C592" s="75"/>
      <c r="D592" s="76"/>
      <c r="E592" s="76"/>
      <c r="F592" s="79"/>
      <c r="G592" s="76"/>
      <c r="H592" s="79"/>
      <c r="I592" s="161"/>
      <c r="J592" s="77"/>
      <c r="K592" s="76"/>
      <c r="L592" s="78"/>
      <c r="M592" s="39"/>
      <c r="N592" s="76"/>
      <c r="O592" s="79">
        <f t="shared" si="685"/>
        <v>0</v>
      </c>
      <c r="P592" s="39" t="e">
        <f t="shared" si="704"/>
        <v>#DIV/0!</v>
      </c>
      <c r="Q592" s="76">
        <f t="shared" si="710"/>
        <v>0</v>
      </c>
      <c r="R592" s="79">
        <f t="shared" si="711"/>
        <v>0</v>
      </c>
      <c r="S592" s="373"/>
    </row>
    <row r="593" spans="1:19" s="107" customFormat="1" ht="34.5" customHeight="1" x14ac:dyDescent="0.25">
      <c r="A593" s="257"/>
      <c r="B593" s="75" t="s">
        <v>8</v>
      </c>
      <c r="C593" s="75"/>
      <c r="D593" s="76"/>
      <c r="E593" s="76"/>
      <c r="F593" s="76"/>
      <c r="G593" s="76"/>
      <c r="H593" s="76"/>
      <c r="I593" s="161"/>
      <c r="J593" s="77"/>
      <c r="K593" s="76"/>
      <c r="L593" s="78"/>
      <c r="M593" s="39"/>
      <c r="N593" s="76"/>
      <c r="O593" s="76">
        <f t="shared" si="685"/>
        <v>0</v>
      </c>
      <c r="P593" s="39" t="e">
        <f t="shared" si="704"/>
        <v>#DIV/0!</v>
      </c>
      <c r="Q593" s="76">
        <f t="shared" si="710"/>
        <v>0</v>
      </c>
      <c r="R593" s="76">
        <f t="shared" si="711"/>
        <v>0</v>
      </c>
      <c r="S593" s="373"/>
    </row>
    <row r="594" spans="1:19" s="107" customFormat="1" ht="34.5" customHeight="1" x14ac:dyDescent="0.25">
      <c r="A594" s="257"/>
      <c r="B594" s="80" t="s">
        <v>20</v>
      </c>
      <c r="C594" s="80"/>
      <c r="D594" s="81"/>
      <c r="E594" s="81"/>
      <c r="F594" s="81"/>
      <c r="G594" s="81">
        <v>275.14</v>
      </c>
      <c r="H594" s="81">
        <v>275.14</v>
      </c>
      <c r="I594" s="113"/>
      <c r="J594" s="77">
        <f t="shared" ref="J594" si="723">I594/H594</f>
        <v>0</v>
      </c>
      <c r="K594" s="81"/>
      <c r="L594" s="78">
        <f t="shared" si="719"/>
        <v>0</v>
      </c>
      <c r="M594" s="39" t="e">
        <f t="shared" si="717"/>
        <v>#DIV/0!</v>
      </c>
      <c r="N594" s="81">
        <f>H594</f>
        <v>275.14</v>
      </c>
      <c r="O594" s="81">
        <f t="shared" si="685"/>
        <v>0</v>
      </c>
      <c r="P594" s="78">
        <f t="shared" si="704"/>
        <v>1</v>
      </c>
      <c r="Q594" s="81">
        <f t="shared" si="710"/>
        <v>275.14</v>
      </c>
      <c r="R594" s="81">
        <f t="shared" si="711"/>
        <v>0</v>
      </c>
      <c r="S594" s="373"/>
    </row>
    <row r="595" spans="1:19" s="107" customFormat="1" ht="34.5" customHeight="1" x14ac:dyDescent="0.25">
      <c r="A595" s="257"/>
      <c r="B595" s="75" t="s">
        <v>22</v>
      </c>
      <c r="C595" s="75"/>
      <c r="D595" s="76"/>
      <c r="E595" s="76"/>
      <c r="F595" s="79"/>
      <c r="G595" s="76"/>
      <c r="H595" s="79"/>
      <c r="I595" s="161"/>
      <c r="J595" s="77"/>
      <c r="K595" s="76"/>
      <c r="L595" s="78"/>
      <c r="M595" s="78"/>
      <c r="N595" s="76"/>
      <c r="O595" s="79">
        <f t="shared" si="685"/>
        <v>0</v>
      </c>
      <c r="P595" s="39" t="e">
        <f t="shared" si="704"/>
        <v>#DIV/0!</v>
      </c>
      <c r="Q595" s="76">
        <f t="shared" si="710"/>
        <v>0</v>
      </c>
      <c r="R595" s="79">
        <f t="shared" si="711"/>
        <v>0</v>
      </c>
      <c r="S595" s="373"/>
    </row>
    <row r="596" spans="1:19" s="107" customFormat="1" ht="34.5" customHeight="1" x14ac:dyDescent="0.25">
      <c r="A596" s="258"/>
      <c r="B596" s="75" t="s">
        <v>11</v>
      </c>
      <c r="C596" s="75"/>
      <c r="D596" s="76"/>
      <c r="E596" s="76"/>
      <c r="F596" s="79"/>
      <c r="G596" s="76"/>
      <c r="H596" s="76"/>
      <c r="I596" s="161"/>
      <c r="J596" s="77"/>
      <c r="K596" s="76"/>
      <c r="L596" s="78"/>
      <c r="M596" s="78"/>
      <c r="N596" s="76">
        <f>H596</f>
        <v>0</v>
      </c>
      <c r="O596" s="76">
        <f t="shared" si="685"/>
        <v>0</v>
      </c>
      <c r="P596" s="39" t="e">
        <f t="shared" si="704"/>
        <v>#DIV/0!</v>
      </c>
      <c r="Q596" s="76">
        <f t="shared" si="710"/>
        <v>0</v>
      </c>
      <c r="R596" s="76">
        <f t="shared" si="711"/>
        <v>0</v>
      </c>
      <c r="S596" s="374"/>
    </row>
    <row r="597" spans="1:19" s="239" customFormat="1" ht="93" x14ac:dyDescent="0.25">
      <c r="A597" s="253" t="s">
        <v>349</v>
      </c>
      <c r="B597" s="154" t="s">
        <v>351</v>
      </c>
      <c r="C597" s="154" t="s">
        <v>2</v>
      </c>
      <c r="D597" s="155">
        <f t="shared" ref="D597:I597" si="724">SUM(D598:D602)</f>
        <v>0</v>
      </c>
      <c r="E597" s="155">
        <f t="shared" si="724"/>
        <v>0</v>
      </c>
      <c r="F597" s="155">
        <f t="shared" si="724"/>
        <v>0</v>
      </c>
      <c r="G597" s="155">
        <f>SUM(G598:G602)</f>
        <v>19263.3</v>
      </c>
      <c r="H597" s="155">
        <f t="shared" si="724"/>
        <v>19263.3</v>
      </c>
      <c r="I597" s="155">
        <f t="shared" si="724"/>
        <v>19263.22</v>
      </c>
      <c r="J597" s="156">
        <f>I597/H597</f>
        <v>1</v>
      </c>
      <c r="K597" s="155">
        <f t="shared" ref="K597" si="725">SUM(K598:K602)</f>
        <v>19263.22</v>
      </c>
      <c r="L597" s="182">
        <f t="shared" ref="L597:L601" si="726">K597/H597</f>
        <v>1</v>
      </c>
      <c r="M597" s="182">
        <f t="shared" ref="M597" si="727">K597/I597</f>
        <v>1</v>
      </c>
      <c r="N597" s="155">
        <f t="shared" ref="N597:O597" si="728">SUM(N598:N602)</f>
        <v>19263.3</v>
      </c>
      <c r="O597" s="155">
        <f t="shared" si="728"/>
        <v>0</v>
      </c>
      <c r="P597" s="182">
        <f t="shared" si="704"/>
        <v>1</v>
      </c>
      <c r="Q597" s="155">
        <f t="shared" si="710"/>
        <v>0.08</v>
      </c>
      <c r="R597" s="155">
        <f t="shared" si="711"/>
        <v>0</v>
      </c>
      <c r="S597" s="89"/>
    </row>
    <row r="598" spans="1:19" s="107" customFormat="1" ht="34.5" customHeight="1" x14ac:dyDescent="0.25">
      <c r="A598" s="266"/>
      <c r="B598" s="75" t="s">
        <v>10</v>
      </c>
      <c r="C598" s="75"/>
      <c r="D598" s="76"/>
      <c r="E598" s="76"/>
      <c r="F598" s="79"/>
      <c r="G598" s="76">
        <f>G604</f>
        <v>0</v>
      </c>
      <c r="H598" s="76">
        <f t="shared" ref="H598:I598" si="729">H604</f>
        <v>0</v>
      </c>
      <c r="I598" s="76">
        <f t="shared" si="729"/>
        <v>0</v>
      </c>
      <c r="J598" s="38" t="e">
        <f t="shared" ref="J598:J601" si="730">I598/H598</f>
        <v>#DIV/0!</v>
      </c>
      <c r="K598" s="37">
        <f t="shared" ref="K598" si="731">K604</f>
        <v>0</v>
      </c>
      <c r="L598" s="39" t="e">
        <f t="shared" si="726"/>
        <v>#DIV/0!</v>
      </c>
      <c r="M598" s="39"/>
      <c r="N598" s="37">
        <f t="shared" ref="N598:O598" si="732">N604</f>
        <v>0</v>
      </c>
      <c r="O598" s="37">
        <f t="shared" si="732"/>
        <v>0</v>
      </c>
      <c r="P598" s="39" t="e">
        <f t="shared" si="704"/>
        <v>#DIV/0!</v>
      </c>
      <c r="Q598" s="76">
        <f t="shared" si="710"/>
        <v>0</v>
      </c>
      <c r="R598" s="76">
        <f t="shared" si="711"/>
        <v>0</v>
      </c>
      <c r="S598" s="90"/>
    </row>
    <row r="599" spans="1:19" s="107" customFormat="1" ht="34.5" customHeight="1" x14ac:dyDescent="0.25">
      <c r="A599" s="266"/>
      <c r="B599" s="75" t="s">
        <v>8</v>
      </c>
      <c r="C599" s="75"/>
      <c r="D599" s="76"/>
      <c r="E599" s="76"/>
      <c r="F599" s="76"/>
      <c r="G599" s="76">
        <f>G605</f>
        <v>19263.3</v>
      </c>
      <c r="H599" s="76">
        <f t="shared" ref="H599:I602" si="733">H605</f>
        <v>19263.3</v>
      </c>
      <c r="I599" s="76">
        <f t="shared" si="733"/>
        <v>19263.22</v>
      </c>
      <c r="J599" s="77">
        <f t="shared" si="730"/>
        <v>1</v>
      </c>
      <c r="K599" s="76">
        <f t="shared" ref="K599" si="734">K605</f>
        <v>19263.22</v>
      </c>
      <c r="L599" s="78">
        <f t="shared" si="726"/>
        <v>1</v>
      </c>
      <c r="M599" s="78">
        <f>K599/I599</f>
        <v>1</v>
      </c>
      <c r="N599" s="76">
        <f t="shared" ref="N599:O599" si="735">N605</f>
        <v>19263.3</v>
      </c>
      <c r="O599" s="76">
        <f t="shared" si="735"/>
        <v>0</v>
      </c>
      <c r="P599" s="78">
        <f t="shared" si="704"/>
        <v>1</v>
      </c>
      <c r="Q599" s="76">
        <f t="shared" si="710"/>
        <v>0.08</v>
      </c>
      <c r="R599" s="76">
        <f t="shared" si="711"/>
        <v>0</v>
      </c>
      <c r="S599" s="90"/>
    </row>
    <row r="600" spans="1:19" s="107" customFormat="1" ht="34.5" customHeight="1" x14ac:dyDescent="0.25">
      <c r="A600" s="266"/>
      <c r="B600" s="75" t="s">
        <v>20</v>
      </c>
      <c r="C600" s="75"/>
      <c r="D600" s="76"/>
      <c r="E600" s="76"/>
      <c r="F600" s="76"/>
      <c r="G600" s="76">
        <f>G606</f>
        <v>0</v>
      </c>
      <c r="H600" s="76">
        <f t="shared" si="733"/>
        <v>0</v>
      </c>
      <c r="I600" s="76">
        <f t="shared" si="733"/>
        <v>0</v>
      </c>
      <c r="J600" s="38" t="e">
        <f t="shared" si="730"/>
        <v>#DIV/0!</v>
      </c>
      <c r="K600" s="37">
        <f t="shared" ref="K600" si="736">K606</f>
        <v>0</v>
      </c>
      <c r="L600" s="39" t="e">
        <f t="shared" si="726"/>
        <v>#DIV/0!</v>
      </c>
      <c r="M600" s="39" t="e">
        <f t="shared" ref="M600" si="737">K600/I600</f>
        <v>#DIV/0!</v>
      </c>
      <c r="N600" s="37">
        <f t="shared" ref="N600:O600" si="738">N606</f>
        <v>0</v>
      </c>
      <c r="O600" s="37">
        <f t="shared" si="738"/>
        <v>0</v>
      </c>
      <c r="P600" s="39" t="e">
        <f t="shared" si="704"/>
        <v>#DIV/0!</v>
      </c>
      <c r="Q600" s="76">
        <f t="shared" si="710"/>
        <v>0</v>
      </c>
      <c r="R600" s="76">
        <f t="shared" si="711"/>
        <v>0</v>
      </c>
      <c r="S600" s="90"/>
    </row>
    <row r="601" spans="1:19" s="107" customFormat="1" ht="34.5" customHeight="1" x14ac:dyDescent="0.25">
      <c r="A601" s="266"/>
      <c r="B601" s="75" t="s">
        <v>22</v>
      </c>
      <c r="C601" s="75"/>
      <c r="D601" s="76"/>
      <c r="E601" s="76"/>
      <c r="F601" s="79"/>
      <c r="G601" s="76">
        <f>G607</f>
        <v>0</v>
      </c>
      <c r="H601" s="76">
        <f t="shared" si="733"/>
        <v>0</v>
      </c>
      <c r="I601" s="76">
        <f t="shared" si="733"/>
        <v>0</v>
      </c>
      <c r="J601" s="38" t="e">
        <f t="shared" si="730"/>
        <v>#DIV/0!</v>
      </c>
      <c r="K601" s="37">
        <f t="shared" ref="K601" si="739">K607</f>
        <v>0</v>
      </c>
      <c r="L601" s="39" t="e">
        <f t="shared" si="726"/>
        <v>#DIV/0!</v>
      </c>
      <c r="M601" s="39"/>
      <c r="N601" s="37">
        <f t="shared" ref="N601:O601" si="740">N607</f>
        <v>0</v>
      </c>
      <c r="O601" s="37">
        <f t="shared" si="740"/>
        <v>0</v>
      </c>
      <c r="P601" s="39" t="e">
        <f t="shared" si="704"/>
        <v>#DIV/0!</v>
      </c>
      <c r="Q601" s="76">
        <f t="shared" si="710"/>
        <v>0</v>
      </c>
      <c r="R601" s="76">
        <f t="shared" si="711"/>
        <v>0</v>
      </c>
      <c r="S601" s="90"/>
    </row>
    <row r="602" spans="1:19" s="107" customFormat="1" ht="34.5" customHeight="1" x14ac:dyDescent="0.25">
      <c r="A602" s="267"/>
      <c r="B602" s="75" t="s">
        <v>11</v>
      </c>
      <c r="C602" s="75"/>
      <c r="D602" s="76"/>
      <c r="E602" s="76"/>
      <c r="F602" s="79"/>
      <c r="G602" s="76">
        <f>G608</f>
        <v>0</v>
      </c>
      <c r="H602" s="76">
        <f t="shared" si="733"/>
        <v>0</v>
      </c>
      <c r="I602" s="76">
        <f t="shared" si="733"/>
        <v>0</v>
      </c>
      <c r="J602" s="38" t="e">
        <f>I602/H602</f>
        <v>#DIV/0!</v>
      </c>
      <c r="K602" s="37">
        <f t="shared" ref="K602" si="741">K608</f>
        <v>0</v>
      </c>
      <c r="L602" s="39" t="e">
        <f t="shared" ref="L602:L603" si="742">K602/H602</f>
        <v>#DIV/0!</v>
      </c>
      <c r="M602" s="39" t="e">
        <f t="shared" ref="M602:M603" si="743">K602/I602</f>
        <v>#DIV/0!</v>
      </c>
      <c r="N602" s="37">
        <f t="shared" ref="N602:O602" si="744">N608</f>
        <v>0</v>
      </c>
      <c r="O602" s="37">
        <f t="shared" si="744"/>
        <v>0</v>
      </c>
      <c r="P602" s="39" t="e">
        <f t="shared" ref="P602:P608" si="745">N602/H602</f>
        <v>#DIV/0!</v>
      </c>
      <c r="Q602" s="76">
        <f t="shared" si="710"/>
        <v>0</v>
      </c>
      <c r="R602" s="76">
        <f t="shared" si="711"/>
        <v>0</v>
      </c>
      <c r="S602" s="90"/>
    </row>
    <row r="603" spans="1:19" s="239" customFormat="1" ht="116.25" x14ac:dyDescent="0.25">
      <c r="A603" s="256" t="s">
        <v>350</v>
      </c>
      <c r="B603" s="69" t="s">
        <v>352</v>
      </c>
      <c r="C603" s="69" t="s">
        <v>17</v>
      </c>
      <c r="D603" s="70">
        <f t="shared" ref="D603:I603" si="746">SUM(D604:D608)</f>
        <v>0</v>
      </c>
      <c r="E603" s="70">
        <f t="shared" si="746"/>
        <v>0</v>
      </c>
      <c r="F603" s="70">
        <f t="shared" si="746"/>
        <v>0</v>
      </c>
      <c r="G603" s="70">
        <f>SUM(G604:G608)</f>
        <v>19263.3</v>
      </c>
      <c r="H603" s="70">
        <f t="shared" si="746"/>
        <v>19263.3</v>
      </c>
      <c r="I603" s="71">
        <f t="shared" si="746"/>
        <v>19263.22</v>
      </c>
      <c r="J603" s="72">
        <f>I603/H603</f>
        <v>1</v>
      </c>
      <c r="K603" s="70">
        <f>SUM(K604:K608)</f>
        <v>19263.22</v>
      </c>
      <c r="L603" s="73">
        <f t="shared" si="742"/>
        <v>1</v>
      </c>
      <c r="M603" s="73">
        <f t="shared" si="743"/>
        <v>1</v>
      </c>
      <c r="N603" s="70">
        <f>SUM(N604:N608)</f>
        <v>19263.3</v>
      </c>
      <c r="O603" s="70">
        <f t="shared" ref="O603:O608" si="747">H603-N603</f>
        <v>0</v>
      </c>
      <c r="P603" s="73">
        <f t="shared" si="745"/>
        <v>1</v>
      </c>
      <c r="Q603" s="70">
        <f t="shared" si="710"/>
        <v>0.08</v>
      </c>
      <c r="R603" s="70">
        <f t="shared" si="711"/>
        <v>0</v>
      </c>
      <c r="S603" s="89" t="s">
        <v>372</v>
      </c>
    </row>
    <row r="604" spans="1:19" s="107" customFormat="1" x14ac:dyDescent="0.25">
      <c r="A604" s="266"/>
      <c r="B604" s="75" t="s">
        <v>10</v>
      </c>
      <c r="C604" s="75"/>
      <c r="D604" s="76"/>
      <c r="E604" s="76"/>
      <c r="F604" s="79"/>
      <c r="G604" s="79"/>
      <c r="H604" s="79"/>
      <c r="I604" s="161"/>
      <c r="J604" s="38" t="e">
        <f t="shared" ref="J604:J608" si="748">I604/H604</f>
        <v>#DIV/0!</v>
      </c>
      <c r="K604" s="37"/>
      <c r="L604" s="39" t="e">
        <f t="shared" ref="L604:L608" si="749">K604/H604</f>
        <v>#DIV/0!</v>
      </c>
      <c r="M604" s="39"/>
      <c r="N604" s="37"/>
      <c r="O604" s="60">
        <f t="shared" si="747"/>
        <v>0</v>
      </c>
      <c r="P604" s="39" t="e">
        <f t="shared" si="745"/>
        <v>#DIV/0!</v>
      </c>
      <c r="Q604" s="76">
        <f t="shared" si="710"/>
        <v>0</v>
      </c>
      <c r="R604" s="79">
        <f t="shared" si="711"/>
        <v>0</v>
      </c>
      <c r="S604" s="90"/>
    </row>
    <row r="605" spans="1:19" s="107" customFormat="1" x14ac:dyDescent="0.25">
      <c r="A605" s="266"/>
      <c r="B605" s="75" t="s">
        <v>8</v>
      </c>
      <c r="C605" s="75"/>
      <c r="D605" s="76"/>
      <c r="E605" s="76"/>
      <c r="F605" s="76"/>
      <c r="G605" s="76">
        <v>19263.3</v>
      </c>
      <c r="H605" s="76">
        <v>19263.3</v>
      </c>
      <c r="I605" s="76">
        <v>19263.22</v>
      </c>
      <c r="J605" s="77">
        <f t="shared" si="748"/>
        <v>1</v>
      </c>
      <c r="K605" s="76">
        <v>19263.22</v>
      </c>
      <c r="L605" s="78">
        <f t="shared" si="749"/>
        <v>1</v>
      </c>
      <c r="M605" s="78">
        <f>K605/I605</f>
        <v>1</v>
      </c>
      <c r="N605" s="81">
        <f>H605</f>
        <v>19263.3</v>
      </c>
      <c r="O605" s="76">
        <f t="shared" si="747"/>
        <v>0</v>
      </c>
      <c r="P605" s="78">
        <f t="shared" si="745"/>
        <v>1</v>
      </c>
      <c r="Q605" s="76">
        <f t="shared" si="710"/>
        <v>0.08</v>
      </c>
      <c r="R605" s="76">
        <f t="shared" si="711"/>
        <v>0</v>
      </c>
      <c r="S605" s="90"/>
    </row>
    <row r="606" spans="1:19" s="107" customFormat="1" x14ac:dyDescent="0.25">
      <c r="A606" s="266"/>
      <c r="B606" s="80" t="s">
        <v>20</v>
      </c>
      <c r="C606" s="80"/>
      <c r="D606" s="81"/>
      <c r="E606" s="81"/>
      <c r="F606" s="81"/>
      <c r="G606" s="81"/>
      <c r="H606" s="81"/>
      <c r="I606" s="113"/>
      <c r="J606" s="38" t="e">
        <f t="shared" si="748"/>
        <v>#DIV/0!</v>
      </c>
      <c r="K606" s="41"/>
      <c r="L606" s="39" t="e">
        <f t="shared" si="749"/>
        <v>#DIV/0!</v>
      </c>
      <c r="M606" s="39" t="e">
        <f t="shared" ref="M606" si="750">K606/I606</f>
        <v>#DIV/0!</v>
      </c>
      <c r="N606" s="41">
        <f>H606</f>
        <v>0</v>
      </c>
      <c r="O606" s="41">
        <f t="shared" si="747"/>
        <v>0</v>
      </c>
      <c r="P606" s="39" t="e">
        <f t="shared" si="745"/>
        <v>#DIV/0!</v>
      </c>
      <c r="Q606" s="81">
        <f t="shared" si="710"/>
        <v>0</v>
      </c>
      <c r="R606" s="81">
        <f t="shared" si="711"/>
        <v>0</v>
      </c>
      <c r="S606" s="90"/>
    </row>
    <row r="607" spans="1:19" s="107" customFormat="1" x14ac:dyDescent="0.25">
      <c r="A607" s="266"/>
      <c r="B607" s="75" t="s">
        <v>22</v>
      </c>
      <c r="C607" s="75"/>
      <c r="D607" s="76"/>
      <c r="E607" s="76"/>
      <c r="F607" s="79"/>
      <c r="G607" s="76"/>
      <c r="H607" s="76"/>
      <c r="I607" s="161"/>
      <c r="J607" s="38" t="e">
        <f t="shared" si="748"/>
        <v>#DIV/0!</v>
      </c>
      <c r="K607" s="37"/>
      <c r="L607" s="39" t="e">
        <f t="shared" si="749"/>
        <v>#DIV/0!</v>
      </c>
      <c r="M607" s="39"/>
      <c r="N607" s="41">
        <f>H607</f>
        <v>0</v>
      </c>
      <c r="O607" s="60">
        <f t="shared" si="747"/>
        <v>0</v>
      </c>
      <c r="P607" s="39" t="e">
        <f t="shared" si="745"/>
        <v>#DIV/0!</v>
      </c>
      <c r="Q607" s="76">
        <f t="shared" si="710"/>
        <v>0</v>
      </c>
      <c r="R607" s="79">
        <f t="shared" si="711"/>
        <v>0</v>
      </c>
      <c r="S607" s="90"/>
    </row>
    <row r="608" spans="1:19" s="107" customFormat="1" x14ac:dyDescent="0.25">
      <c r="A608" s="267"/>
      <c r="B608" s="75" t="s">
        <v>11</v>
      </c>
      <c r="C608" s="75"/>
      <c r="D608" s="76"/>
      <c r="E608" s="76"/>
      <c r="F608" s="79"/>
      <c r="G608" s="76"/>
      <c r="H608" s="76"/>
      <c r="I608" s="161"/>
      <c r="J608" s="38" t="e">
        <f t="shared" si="748"/>
        <v>#DIV/0!</v>
      </c>
      <c r="K608" s="37"/>
      <c r="L608" s="39" t="e">
        <f t="shared" si="749"/>
        <v>#DIV/0!</v>
      </c>
      <c r="M608" s="39"/>
      <c r="N608" s="41">
        <f>H608</f>
        <v>0</v>
      </c>
      <c r="O608" s="37">
        <f t="shared" si="747"/>
        <v>0</v>
      </c>
      <c r="P608" s="39" t="e">
        <f t="shared" si="745"/>
        <v>#DIV/0!</v>
      </c>
      <c r="Q608" s="76">
        <f t="shared" si="710"/>
        <v>0</v>
      </c>
      <c r="R608" s="76">
        <f t="shared" si="711"/>
        <v>0</v>
      </c>
      <c r="S608" s="85"/>
    </row>
    <row r="609" spans="1:19" s="239" customFormat="1" ht="251.25" customHeight="1" x14ac:dyDescent="0.25">
      <c r="A609" s="91" t="s">
        <v>41</v>
      </c>
      <c r="B609" s="3" t="s">
        <v>311</v>
      </c>
      <c r="C609" s="3" t="s">
        <v>9</v>
      </c>
      <c r="D609" s="30"/>
      <c r="E609" s="30"/>
      <c r="F609" s="30"/>
      <c r="G609" s="30">
        <f>SUM(G610:G614)</f>
        <v>54249.26</v>
      </c>
      <c r="H609" s="30">
        <f t="shared" ref="H609:I609" si="751">SUM(H610:H614)</f>
        <v>55963.66</v>
      </c>
      <c r="I609" s="30">
        <f t="shared" si="751"/>
        <v>31075.34</v>
      </c>
      <c r="J609" s="31">
        <f t="shared" ref="J609:J620" si="752">I609/H609</f>
        <v>0.56000000000000005</v>
      </c>
      <c r="K609" s="30">
        <f>SUM(K610:K614)</f>
        <v>25135.32</v>
      </c>
      <c r="L609" s="32">
        <f t="shared" ref="L609:L614" si="753">K609/H609</f>
        <v>0.45</v>
      </c>
      <c r="M609" s="32">
        <f>K609/I609</f>
        <v>0.81</v>
      </c>
      <c r="N609" s="30">
        <f t="shared" ref="N609:O609" si="754">SUM(N610:N614)</f>
        <v>55963.66</v>
      </c>
      <c r="O609" s="30">
        <f t="shared" si="754"/>
        <v>0</v>
      </c>
      <c r="P609" s="32">
        <f t="shared" ref="P609:P644" si="755">N609/H609</f>
        <v>1</v>
      </c>
      <c r="Q609" s="79">
        <f t="shared" ref="Q609:Q668" si="756">H609-K609</f>
        <v>30828.34</v>
      </c>
      <c r="R609" s="79">
        <f t="shared" ref="R609:R668" si="757">I609-K609</f>
        <v>5940.02</v>
      </c>
      <c r="S609" s="372" t="s">
        <v>348</v>
      </c>
    </row>
    <row r="610" spans="1:19" s="107" customFormat="1" ht="29.25" customHeight="1" x14ac:dyDescent="0.25">
      <c r="A610" s="92"/>
      <c r="B610" s="33" t="s">
        <v>10</v>
      </c>
      <c r="C610" s="34"/>
      <c r="D610" s="30"/>
      <c r="E610" s="30"/>
      <c r="F610" s="30"/>
      <c r="G610" s="35">
        <f>G616+G658</f>
        <v>19563.2</v>
      </c>
      <c r="H610" s="35">
        <f t="shared" ref="H610:I610" si="758">H616+H658</f>
        <v>19563.2</v>
      </c>
      <c r="I610" s="35">
        <f t="shared" si="758"/>
        <v>10434.65</v>
      </c>
      <c r="J610" s="51">
        <f t="shared" si="752"/>
        <v>0.53</v>
      </c>
      <c r="K610" s="35">
        <f t="shared" ref="K610" si="759">K616+K658</f>
        <v>8758.6</v>
      </c>
      <c r="L610" s="52">
        <f t="shared" si="753"/>
        <v>0.45</v>
      </c>
      <c r="M610" s="52">
        <f t="shared" ref="M610:M614" si="760">K610/I610</f>
        <v>0.84</v>
      </c>
      <c r="N610" s="35">
        <f t="shared" ref="N610:O610" si="761">N616+N658</f>
        <v>19563.2</v>
      </c>
      <c r="O610" s="35">
        <f t="shared" si="761"/>
        <v>0</v>
      </c>
      <c r="P610" s="52">
        <f t="shared" si="755"/>
        <v>1</v>
      </c>
      <c r="Q610" s="76">
        <f t="shared" si="756"/>
        <v>10804.6</v>
      </c>
      <c r="R610" s="76">
        <f t="shared" si="757"/>
        <v>1676.05</v>
      </c>
      <c r="S610" s="373"/>
    </row>
    <row r="611" spans="1:19" s="107" customFormat="1" ht="29.25" customHeight="1" x14ac:dyDescent="0.25">
      <c r="A611" s="50"/>
      <c r="B611" s="59" t="s">
        <v>8</v>
      </c>
      <c r="C611" s="45"/>
      <c r="D611" s="58"/>
      <c r="E611" s="58"/>
      <c r="F611" s="58"/>
      <c r="G611" s="35">
        <f>G617+G659+G647</f>
        <v>19326.8</v>
      </c>
      <c r="H611" s="35">
        <f>H617+H659+H647</f>
        <v>21041.200000000001</v>
      </c>
      <c r="I611" s="35">
        <f>I617+I659+I647</f>
        <v>11854.05</v>
      </c>
      <c r="J611" s="51">
        <f t="shared" si="752"/>
        <v>0.56000000000000005</v>
      </c>
      <c r="K611" s="35">
        <f>K617+K659+K647</f>
        <v>7590.08</v>
      </c>
      <c r="L611" s="52">
        <f t="shared" si="753"/>
        <v>0.36</v>
      </c>
      <c r="M611" s="52">
        <f t="shared" si="760"/>
        <v>0.64</v>
      </c>
      <c r="N611" s="35">
        <f>N617+N659+N647</f>
        <v>21041.200000000001</v>
      </c>
      <c r="O611" s="35">
        <f t="shared" ref="O611" si="762">O617+O659</f>
        <v>0</v>
      </c>
      <c r="P611" s="52">
        <f t="shared" si="755"/>
        <v>1</v>
      </c>
      <c r="Q611" s="76">
        <f t="shared" si="756"/>
        <v>13451.12</v>
      </c>
      <c r="R611" s="76">
        <f t="shared" si="757"/>
        <v>4263.97</v>
      </c>
      <c r="S611" s="373"/>
    </row>
    <row r="612" spans="1:19" s="107" customFormat="1" ht="29.25" customHeight="1" x14ac:dyDescent="0.25">
      <c r="A612" s="50"/>
      <c r="B612" s="33" t="s">
        <v>19</v>
      </c>
      <c r="C612" s="34"/>
      <c r="D612" s="30"/>
      <c r="E612" s="30"/>
      <c r="F612" s="30"/>
      <c r="G612" s="35">
        <f t="shared" ref="G612:I614" si="763">G618+G660</f>
        <v>948.6</v>
      </c>
      <c r="H612" s="35">
        <f t="shared" si="763"/>
        <v>1102.2</v>
      </c>
      <c r="I612" s="35">
        <f t="shared" si="763"/>
        <v>601.03</v>
      </c>
      <c r="J612" s="36">
        <f t="shared" si="752"/>
        <v>0.55000000000000004</v>
      </c>
      <c r="K612" s="35">
        <f t="shared" ref="K612" si="764">K618+K660</f>
        <v>601.03</v>
      </c>
      <c r="L612" s="52">
        <f t="shared" si="753"/>
        <v>0.55000000000000004</v>
      </c>
      <c r="M612" s="52">
        <f t="shared" si="760"/>
        <v>1</v>
      </c>
      <c r="N612" s="35">
        <f t="shared" ref="N612:O612" si="765">N618+N660</f>
        <v>1102.2</v>
      </c>
      <c r="O612" s="35">
        <f t="shared" si="765"/>
        <v>0</v>
      </c>
      <c r="P612" s="52">
        <f t="shared" si="755"/>
        <v>1</v>
      </c>
      <c r="Q612" s="76">
        <f t="shared" si="756"/>
        <v>501.17</v>
      </c>
      <c r="R612" s="76">
        <f t="shared" si="757"/>
        <v>0</v>
      </c>
      <c r="S612" s="373"/>
    </row>
    <row r="613" spans="1:19" s="107" customFormat="1" ht="29.25" customHeight="1" x14ac:dyDescent="0.25">
      <c r="A613" s="50"/>
      <c r="B613" s="33" t="s">
        <v>22</v>
      </c>
      <c r="C613" s="34"/>
      <c r="D613" s="35"/>
      <c r="E613" s="35"/>
      <c r="F613" s="35"/>
      <c r="G613" s="35">
        <f t="shared" si="763"/>
        <v>14410.66</v>
      </c>
      <c r="H613" s="35">
        <f t="shared" si="763"/>
        <v>14257.06</v>
      </c>
      <c r="I613" s="35">
        <f t="shared" si="763"/>
        <v>8185.61</v>
      </c>
      <c r="J613" s="51">
        <f t="shared" si="752"/>
        <v>0.56999999999999995</v>
      </c>
      <c r="K613" s="35">
        <f t="shared" ref="K613" si="766">K619+K661</f>
        <v>8185.61</v>
      </c>
      <c r="L613" s="52">
        <f t="shared" si="753"/>
        <v>0.56999999999999995</v>
      </c>
      <c r="M613" s="52">
        <f t="shared" si="760"/>
        <v>1</v>
      </c>
      <c r="N613" s="35">
        <f t="shared" ref="N613:O613" si="767">N619+N661</f>
        <v>14257.06</v>
      </c>
      <c r="O613" s="35">
        <f t="shared" si="767"/>
        <v>0</v>
      </c>
      <c r="P613" s="52">
        <f t="shared" si="755"/>
        <v>1</v>
      </c>
      <c r="Q613" s="76">
        <f t="shared" si="756"/>
        <v>6071.45</v>
      </c>
      <c r="R613" s="76">
        <f t="shared" si="757"/>
        <v>0</v>
      </c>
      <c r="S613" s="373"/>
    </row>
    <row r="614" spans="1:19" s="107" customFormat="1" ht="59.25" customHeight="1" collapsed="1" x14ac:dyDescent="0.25">
      <c r="A614" s="53"/>
      <c r="B614" s="33" t="s">
        <v>11</v>
      </c>
      <c r="C614" s="34"/>
      <c r="D614" s="35"/>
      <c r="E614" s="35"/>
      <c r="F614" s="35"/>
      <c r="G614" s="352">
        <f t="shared" si="763"/>
        <v>0</v>
      </c>
      <c r="H614" s="352">
        <f t="shared" si="763"/>
        <v>0</v>
      </c>
      <c r="I614" s="352">
        <f t="shared" si="763"/>
        <v>0</v>
      </c>
      <c r="J614" s="353" t="e">
        <f t="shared" si="752"/>
        <v>#DIV/0!</v>
      </c>
      <c r="K614" s="352">
        <f>K620+K662</f>
        <v>0</v>
      </c>
      <c r="L614" s="357" t="e">
        <f t="shared" si="753"/>
        <v>#DIV/0!</v>
      </c>
      <c r="M614" s="357" t="e">
        <f t="shared" si="760"/>
        <v>#DIV/0!</v>
      </c>
      <c r="N614" s="352">
        <f>N620+N662</f>
        <v>0</v>
      </c>
      <c r="O614" s="352">
        <f>O620+O662</f>
        <v>0</v>
      </c>
      <c r="P614" s="357" t="e">
        <f t="shared" si="755"/>
        <v>#DIV/0!</v>
      </c>
      <c r="Q614" s="76">
        <f t="shared" si="756"/>
        <v>0</v>
      </c>
      <c r="R614" s="76">
        <f t="shared" si="757"/>
        <v>0</v>
      </c>
      <c r="S614" s="374"/>
    </row>
    <row r="615" spans="1:19" s="239" customFormat="1" ht="78.75" customHeight="1" x14ac:dyDescent="0.25">
      <c r="A615" s="253" t="s">
        <v>145</v>
      </c>
      <c r="B615" s="154" t="s">
        <v>467</v>
      </c>
      <c r="C615" s="154" t="s">
        <v>2</v>
      </c>
      <c r="D615" s="155">
        <f t="shared" ref="D615:G615" si="768">SUM(D616:D620)</f>
        <v>0</v>
      </c>
      <c r="E615" s="155">
        <f t="shared" si="768"/>
        <v>0</v>
      </c>
      <c r="F615" s="155">
        <f t="shared" si="768"/>
        <v>0</v>
      </c>
      <c r="G615" s="155">
        <f t="shared" si="768"/>
        <v>28177.66</v>
      </c>
      <c r="H615" s="155">
        <f t="shared" ref="H615:I615" si="769">SUM(H616:H620)</f>
        <v>28792.06</v>
      </c>
      <c r="I615" s="155">
        <f t="shared" si="769"/>
        <v>16708.04</v>
      </c>
      <c r="J615" s="182">
        <f t="shared" si="752"/>
        <v>0.57999999999999996</v>
      </c>
      <c r="K615" s="155">
        <f t="shared" ref="K615" si="770">SUM(K616:K620)</f>
        <v>12658.9</v>
      </c>
      <c r="L615" s="182">
        <f>K615/H615</f>
        <v>0.44</v>
      </c>
      <c r="M615" s="182">
        <f>K615/I615</f>
        <v>0.76</v>
      </c>
      <c r="N615" s="155">
        <f t="shared" ref="N615:O615" si="771">SUM(N616:N620)</f>
        <v>28792.06</v>
      </c>
      <c r="O615" s="155">
        <f t="shared" si="771"/>
        <v>0</v>
      </c>
      <c r="P615" s="182">
        <f t="shared" si="755"/>
        <v>1</v>
      </c>
      <c r="Q615" s="155">
        <f t="shared" si="756"/>
        <v>16133.16</v>
      </c>
      <c r="R615" s="155">
        <f t="shared" si="757"/>
        <v>4049.14</v>
      </c>
      <c r="S615" s="288"/>
    </row>
    <row r="616" spans="1:19" s="107" customFormat="1" ht="68.25" customHeight="1" x14ac:dyDescent="0.25">
      <c r="A616" s="266"/>
      <c r="B616" s="226" t="s">
        <v>10</v>
      </c>
      <c r="C616" s="75"/>
      <c r="D616" s="76"/>
      <c r="E616" s="76"/>
      <c r="F616" s="76"/>
      <c r="G616" s="76">
        <f>G622+G628+G634+G640</f>
        <v>307.5</v>
      </c>
      <c r="H616" s="76">
        <f t="shared" ref="H616:I616" si="772">H622+H628+H634+H640</f>
        <v>307.5</v>
      </c>
      <c r="I616" s="76">
        <f t="shared" si="772"/>
        <v>0</v>
      </c>
      <c r="J616" s="78">
        <f t="shared" si="752"/>
        <v>0</v>
      </c>
      <c r="K616" s="76">
        <f t="shared" ref="K616:K620" si="773">K622+K628+K634+K640</f>
        <v>0</v>
      </c>
      <c r="L616" s="78">
        <f t="shared" ref="L616" si="774">K616/H616</f>
        <v>0</v>
      </c>
      <c r="M616" s="39" t="e">
        <f t="shared" ref="M616" si="775">K616/I616</f>
        <v>#DIV/0!</v>
      </c>
      <c r="N616" s="76">
        <f t="shared" ref="N616:O620" si="776">N622+N628+N634+N640</f>
        <v>307.5</v>
      </c>
      <c r="O616" s="76">
        <f t="shared" si="776"/>
        <v>0</v>
      </c>
      <c r="P616" s="78">
        <f t="shared" si="755"/>
        <v>1</v>
      </c>
      <c r="Q616" s="76">
        <f t="shared" si="756"/>
        <v>307.5</v>
      </c>
      <c r="R616" s="76">
        <f t="shared" si="757"/>
        <v>0</v>
      </c>
      <c r="S616" s="289"/>
    </row>
    <row r="617" spans="1:19" s="107" customFormat="1" ht="55.5" customHeight="1" x14ac:dyDescent="0.25">
      <c r="A617" s="266"/>
      <c r="B617" s="226" t="s">
        <v>8</v>
      </c>
      <c r="C617" s="75"/>
      <c r="D617" s="76"/>
      <c r="E617" s="76"/>
      <c r="F617" s="76">
        <f>D617-E617</f>
        <v>0</v>
      </c>
      <c r="G617" s="76">
        <f t="shared" ref="G617:I620" si="777">G623+G629+G635+G641</f>
        <v>12510.9</v>
      </c>
      <c r="H617" s="76">
        <f t="shared" si="777"/>
        <v>13125.3</v>
      </c>
      <c r="I617" s="76">
        <f t="shared" si="777"/>
        <v>7921.4</v>
      </c>
      <c r="J617" s="78">
        <f t="shared" si="752"/>
        <v>0.6</v>
      </c>
      <c r="K617" s="76">
        <f t="shared" si="773"/>
        <v>3872.26</v>
      </c>
      <c r="L617" s="78">
        <f>K617/H617</f>
        <v>0.3</v>
      </c>
      <c r="M617" s="78">
        <f>K617/I617</f>
        <v>0.49</v>
      </c>
      <c r="N617" s="76">
        <f t="shared" si="776"/>
        <v>13125.3</v>
      </c>
      <c r="O617" s="76">
        <f t="shared" si="776"/>
        <v>0</v>
      </c>
      <c r="P617" s="78">
        <f t="shared" si="755"/>
        <v>1</v>
      </c>
      <c r="Q617" s="76">
        <f t="shared" si="756"/>
        <v>9253.0400000000009</v>
      </c>
      <c r="R617" s="76">
        <f t="shared" si="757"/>
        <v>4049.14</v>
      </c>
      <c r="S617" s="289"/>
    </row>
    <row r="618" spans="1:19" s="107" customFormat="1" ht="38.25" customHeight="1" x14ac:dyDescent="0.25">
      <c r="A618" s="266"/>
      <c r="B618" s="226" t="s">
        <v>20</v>
      </c>
      <c r="C618" s="75"/>
      <c r="D618" s="76"/>
      <c r="E618" s="76"/>
      <c r="F618" s="76"/>
      <c r="G618" s="76">
        <f t="shared" si="777"/>
        <v>948.6</v>
      </c>
      <c r="H618" s="76">
        <f t="shared" si="777"/>
        <v>1102.2</v>
      </c>
      <c r="I618" s="76">
        <f t="shared" si="777"/>
        <v>601.03</v>
      </c>
      <c r="J618" s="78">
        <f t="shared" si="752"/>
        <v>0.55000000000000004</v>
      </c>
      <c r="K618" s="76">
        <f t="shared" si="773"/>
        <v>601.03</v>
      </c>
      <c r="L618" s="78">
        <f t="shared" ref="L618:L620" si="778">K618/H618</f>
        <v>0.55000000000000004</v>
      </c>
      <c r="M618" s="78">
        <f t="shared" ref="M618:M620" si="779">K618/I618</f>
        <v>1</v>
      </c>
      <c r="N618" s="76">
        <f t="shared" si="776"/>
        <v>1102.2</v>
      </c>
      <c r="O618" s="76">
        <f t="shared" si="776"/>
        <v>0</v>
      </c>
      <c r="P618" s="78">
        <f t="shared" si="755"/>
        <v>1</v>
      </c>
      <c r="Q618" s="76">
        <f t="shared" si="756"/>
        <v>501.17</v>
      </c>
      <c r="R618" s="76">
        <f t="shared" si="757"/>
        <v>0</v>
      </c>
      <c r="S618" s="289"/>
    </row>
    <row r="619" spans="1:19" s="107" customFormat="1" ht="38.25" customHeight="1" x14ac:dyDescent="0.25">
      <c r="A619" s="266"/>
      <c r="B619" s="163" t="s">
        <v>22</v>
      </c>
      <c r="C619" s="80"/>
      <c r="D619" s="81"/>
      <c r="E619" s="81"/>
      <c r="F619" s="81"/>
      <c r="G619" s="76">
        <f t="shared" si="777"/>
        <v>14410.66</v>
      </c>
      <c r="H619" s="76">
        <f t="shared" si="777"/>
        <v>14257.06</v>
      </c>
      <c r="I619" s="76">
        <f t="shared" si="777"/>
        <v>8185.61</v>
      </c>
      <c r="J619" s="78">
        <f t="shared" si="752"/>
        <v>0.56999999999999995</v>
      </c>
      <c r="K619" s="76">
        <f t="shared" si="773"/>
        <v>8185.61</v>
      </c>
      <c r="L619" s="78">
        <f t="shared" si="778"/>
        <v>0.56999999999999995</v>
      </c>
      <c r="M619" s="78">
        <f t="shared" si="779"/>
        <v>1</v>
      </c>
      <c r="N619" s="76">
        <f t="shared" si="776"/>
        <v>14257.06</v>
      </c>
      <c r="O619" s="76">
        <f t="shared" si="776"/>
        <v>0</v>
      </c>
      <c r="P619" s="78">
        <f t="shared" si="755"/>
        <v>1</v>
      </c>
      <c r="Q619" s="76">
        <f t="shared" si="756"/>
        <v>6071.45</v>
      </c>
      <c r="R619" s="76">
        <f t="shared" si="757"/>
        <v>0</v>
      </c>
      <c r="S619" s="289"/>
    </row>
    <row r="620" spans="1:19" s="107" customFormat="1" ht="33" customHeight="1" collapsed="1" x14ac:dyDescent="0.25">
      <c r="A620" s="267"/>
      <c r="B620" s="226" t="s">
        <v>11</v>
      </c>
      <c r="C620" s="75"/>
      <c r="D620" s="76"/>
      <c r="E620" s="76"/>
      <c r="F620" s="76"/>
      <c r="G620" s="76">
        <f t="shared" si="777"/>
        <v>0</v>
      </c>
      <c r="H620" s="76">
        <f t="shared" si="777"/>
        <v>0</v>
      </c>
      <c r="I620" s="76">
        <f t="shared" si="777"/>
        <v>0</v>
      </c>
      <c r="J620" s="39" t="e">
        <f t="shared" si="752"/>
        <v>#DIV/0!</v>
      </c>
      <c r="K620" s="37">
        <f t="shared" si="773"/>
        <v>0</v>
      </c>
      <c r="L620" s="39" t="e">
        <f t="shared" si="778"/>
        <v>#DIV/0!</v>
      </c>
      <c r="M620" s="39" t="e">
        <f t="shared" si="779"/>
        <v>#DIV/0!</v>
      </c>
      <c r="N620" s="37">
        <f t="shared" si="776"/>
        <v>0</v>
      </c>
      <c r="O620" s="37">
        <f t="shared" si="776"/>
        <v>0</v>
      </c>
      <c r="P620" s="39" t="e">
        <f t="shared" si="755"/>
        <v>#DIV/0!</v>
      </c>
      <c r="Q620" s="76">
        <f t="shared" si="756"/>
        <v>0</v>
      </c>
      <c r="R620" s="76">
        <f t="shared" si="757"/>
        <v>0</v>
      </c>
      <c r="S620" s="290"/>
    </row>
    <row r="621" spans="1:19" s="239" customFormat="1" ht="150.75" customHeight="1" x14ac:dyDescent="0.25">
      <c r="A621" s="256" t="s">
        <v>146</v>
      </c>
      <c r="B621" s="69" t="s">
        <v>235</v>
      </c>
      <c r="C621" s="69" t="s">
        <v>17</v>
      </c>
      <c r="D621" s="70">
        <f t="shared" ref="D621:I621" si="780">SUM(D622:D626)</f>
        <v>0</v>
      </c>
      <c r="E621" s="70">
        <f t="shared" si="780"/>
        <v>0</v>
      </c>
      <c r="F621" s="70">
        <f t="shared" si="780"/>
        <v>0</v>
      </c>
      <c r="G621" s="70">
        <f t="shared" si="780"/>
        <v>17785.66</v>
      </c>
      <c r="H621" s="70">
        <f t="shared" si="780"/>
        <v>18400.060000000001</v>
      </c>
      <c r="I621" s="70">
        <f t="shared" si="780"/>
        <v>11371.61</v>
      </c>
      <c r="J621" s="73">
        <f>I621/H621</f>
        <v>0.62</v>
      </c>
      <c r="K621" s="70">
        <f>SUM(K622:K626)</f>
        <v>9205.86</v>
      </c>
      <c r="L621" s="73">
        <f>K621/H621</f>
        <v>0.5</v>
      </c>
      <c r="M621" s="73">
        <f>K621/I621</f>
        <v>0.81</v>
      </c>
      <c r="N621" s="70">
        <f>SUM(N622:N626)</f>
        <v>18400.060000000001</v>
      </c>
      <c r="O621" s="70">
        <f t="shared" ref="O621:O657" si="781">H621-N621</f>
        <v>0</v>
      </c>
      <c r="P621" s="73">
        <f t="shared" si="755"/>
        <v>1</v>
      </c>
      <c r="Q621" s="70">
        <f t="shared" si="756"/>
        <v>9194.2000000000007</v>
      </c>
      <c r="R621" s="70">
        <f t="shared" si="757"/>
        <v>2165.75</v>
      </c>
      <c r="S621" s="372" t="s">
        <v>518</v>
      </c>
    </row>
    <row r="622" spans="1:19" s="107" customFormat="1" ht="96" customHeight="1" x14ac:dyDescent="0.25">
      <c r="A622" s="266"/>
      <c r="B622" s="163" t="s">
        <v>10</v>
      </c>
      <c r="C622" s="291"/>
      <c r="D622" s="81"/>
      <c r="E622" s="81"/>
      <c r="F622" s="82"/>
      <c r="G622" s="81"/>
      <c r="H622" s="81"/>
      <c r="I622" s="81"/>
      <c r="J622" s="44" t="e">
        <f t="shared" ref="J622" si="782">I622/H622</f>
        <v>#DIV/0!</v>
      </c>
      <c r="K622" s="41"/>
      <c r="L622" s="44" t="e">
        <f t="shared" ref="L622" si="783">K622/H622</f>
        <v>#DIV/0!</v>
      </c>
      <c r="M622" s="44" t="e">
        <f t="shared" ref="M622:M626" si="784">K622/I622</f>
        <v>#DIV/0!</v>
      </c>
      <c r="N622" s="41"/>
      <c r="O622" s="41">
        <f t="shared" si="781"/>
        <v>0</v>
      </c>
      <c r="P622" s="44" t="e">
        <f t="shared" si="755"/>
        <v>#DIV/0!</v>
      </c>
      <c r="Q622" s="81">
        <f t="shared" si="756"/>
        <v>0</v>
      </c>
      <c r="R622" s="81">
        <f t="shared" si="757"/>
        <v>0</v>
      </c>
      <c r="S622" s="373"/>
    </row>
    <row r="623" spans="1:19" s="107" customFormat="1" ht="133.5" customHeight="1" x14ac:dyDescent="0.25">
      <c r="A623" s="266"/>
      <c r="B623" s="226" t="s">
        <v>530</v>
      </c>
      <c r="C623" s="75"/>
      <c r="D623" s="76"/>
      <c r="E623" s="76"/>
      <c r="F623" s="76">
        <f>D623-E623</f>
        <v>0</v>
      </c>
      <c r="G623" s="76">
        <v>2700</v>
      </c>
      <c r="H623" s="76">
        <v>3314.4</v>
      </c>
      <c r="I623" s="76">
        <v>2700</v>
      </c>
      <c r="J623" s="78">
        <f>I623/H623</f>
        <v>0.81</v>
      </c>
      <c r="K623" s="76">
        <v>534.25</v>
      </c>
      <c r="L623" s="88">
        <f>K623/H623</f>
        <v>0.16120000000000001</v>
      </c>
      <c r="M623" s="78">
        <f t="shared" si="784"/>
        <v>0.2</v>
      </c>
      <c r="N623" s="76">
        <f>H623</f>
        <v>3314.4</v>
      </c>
      <c r="O623" s="76">
        <f t="shared" si="781"/>
        <v>0</v>
      </c>
      <c r="P623" s="78">
        <f t="shared" si="755"/>
        <v>1</v>
      </c>
      <c r="Q623" s="76">
        <f t="shared" si="756"/>
        <v>2780.15</v>
      </c>
      <c r="R623" s="76">
        <f t="shared" si="757"/>
        <v>2165.75</v>
      </c>
      <c r="S623" s="373"/>
    </row>
    <row r="624" spans="1:19" s="107" customFormat="1" ht="141" customHeight="1" x14ac:dyDescent="0.25">
      <c r="A624" s="266"/>
      <c r="B624" s="226" t="s">
        <v>20</v>
      </c>
      <c r="C624" s="75"/>
      <c r="D624" s="76"/>
      <c r="E624" s="76"/>
      <c r="F624" s="76"/>
      <c r="G624" s="76">
        <v>675</v>
      </c>
      <c r="H624" s="76">
        <v>828.6</v>
      </c>
      <c r="I624" s="76">
        <v>486</v>
      </c>
      <c r="J624" s="78">
        <f>I624/H624</f>
        <v>0.59</v>
      </c>
      <c r="K624" s="76">
        <f>I624</f>
        <v>486</v>
      </c>
      <c r="L624" s="88">
        <f>K624/H624</f>
        <v>0.58650000000000002</v>
      </c>
      <c r="M624" s="78">
        <f t="shared" si="784"/>
        <v>1</v>
      </c>
      <c r="N624" s="76">
        <f>H624</f>
        <v>828.6</v>
      </c>
      <c r="O624" s="76">
        <f t="shared" si="781"/>
        <v>0</v>
      </c>
      <c r="P624" s="78">
        <f t="shared" si="755"/>
        <v>1</v>
      </c>
      <c r="Q624" s="76">
        <f t="shared" si="756"/>
        <v>342.6</v>
      </c>
      <c r="R624" s="76">
        <f t="shared" si="757"/>
        <v>0</v>
      </c>
      <c r="S624" s="373"/>
    </row>
    <row r="625" spans="1:19" s="107" customFormat="1" ht="122.25" customHeight="1" x14ac:dyDescent="0.25">
      <c r="A625" s="266"/>
      <c r="B625" s="163" t="s">
        <v>22</v>
      </c>
      <c r="C625" s="291"/>
      <c r="D625" s="81"/>
      <c r="E625" s="81"/>
      <c r="F625" s="82"/>
      <c r="G625" s="81">
        <v>14410.66</v>
      </c>
      <c r="H625" s="81">
        <v>14257.06</v>
      </c>
      <c r="I625" s="81">
        <f>K625</f>
        <v>8185.61</v>
      </c>
      <c r="J625" s="78">
        <f>I625/H625</f>
        <v>0.56999999999999995</v>
      </c>
      <c r="K625" s="76">
        <v>8185.61</v>
      </c>
      <c r="L625" s="78">
        <f t="shared" ref="L625:L626" si="785">K625/H625</f>
        <v>0.56999999999999995</v>
      </c>
      <c r="M625" s="78">
        <f t="shared" si="784"/>
        <v>1</v>
      </c>
      <c r="N625" s="76">
        <f>H625</f>
        <v>14257.06</v>
      </c>
      <c r="O625" s="82">
        <f t="shared" si="781"/>
        <v>0</v>
      </c>
      <c r="P625" s="78">
        <f t="shared" si="755"/>
        <v>1</v>
      </c>
      <c r="Q625" s="81">
        <f t="shared" si="756"/>
        <v>6071.45</v>
      </c>
      <c r="R625" s="81">
        <f t="shared" si="757"/>
        <v>0</v>
      </c>
      <c r="S625" s="373"/>
    </row>
    <row r="626" spans="1:19" s="107" customFormat="1" ht="144.75" customHeight="1" collapsed="1" x14ac:dyDescent="0.25">
      <c r="A626" s="267"/>
      <c r="B626" s="226" t="s">
        <v>11</v>
      </c>
      <c r="C626" s="75"/>
      <c r="D626" s="76"/>
      <c r="E626" s="76"/>
      <c r="F626" s="79"/>
      <c r="G626" s="76"/>
      <c r="H626" s="79"/>
      <c r="I626" s="76"/>
      <c r="J626" s="39" t="e">
        <f t="shared" ref="J626" si="786">I626/H626</f>
        <v>#DIV/0!</v>
      </c>
      <c r="K626" s="37"/>
      <c r="L626" s="39" t="e">
        <f t="shared" si="785"/>
        <v>#DIV/0!</v>
      </c>
      <c r="M626" s="39" t="e">
        <f t="shared" si="784"/>
        <v>#DIV/0!</v>
      </c>
      <c r="N626" s="37"/>
      <c r="O626" s="60">
        <f t="shared" si="781"/>
        <v>0</v>
      </c>
      <c r="P626" s="39" t="e">
        <f t="shared" si="755"/>
        <v>#DIV/0!</v>
      </c>
      <c r="Q626" s="76">
        <f t="shared" si="756"/>
        <v>0</v>
      </c>
      <c r="R626" s="79">
        <f t="shared" si="757"/>
        <v>0</v>
      </c>
      <c r="S626" s="374"/>
    </row>
    <row r="627" spans="1:19" s="245" customFormat="1" ht="127.5" customHeight="1" x14ac:dyDescent="0.25">
      <c r="A627" s="256" t="s">
        <v>147</v>
      </c>
      <c r="B627" s="69" t="s">
        <v>214</v>
      </c>
      <c r="C627" s="69" t="s">
        <v>17</v>
      </c>
      <c r="D627" s="70">
        <f t="shared" ref="D627:I627" si="787">SUM(D628:D632)</f>
        <v>0</v>
      </c>
      <c r="E627" s="70">
        <f t="shared" si="787"/>
        <v>0</v>
      </c>
      <c r="F627" s="70">
        <f t="shared" si="787"/>
        <v>0</v>
      </c>
      <c r="G627" s="70">
        <f t="shared" si="787"/>
        <v>912</v>
      </c>
      <c r="H627" s="70">
        <f t="shared" si="787"/>
        <v>912</v>
      </c>
      <c r="I627" s="71">
        <f t="shared" si="787"/>
        <v>753.43</v>
      </c>
      <c r="J627" s="73">
        <f>I627/H627</f>
        <v>0.83</v>
      </c>
      <c r="K627" s="70">
        <f>SUM(K628:K632)</f>
        <v>115.03</v>
      </c>
      <c r="L627" s="73">
        <f>K627/H627</f>
        <v>0.13</v>
      </c>
      <c r="M627" s="73">
        <f>K627/I627</f>
        <v>0.15</v>
      </c>
      <c r="N627" s="70">
        <f>SUM(N628:N632)</f>
        <v>912</v>
      </c>
      <c r="O627" s="70">
        <f t="shared" si="781"/>
        <v>0</v>
      </c>
      <c r="P627" s="73">
        <f t="shared" si="755"/>
        <v>1</v>
      </c>
      <c r="Q627" s="70">
        <f t="shared" si="756"/>
        <v>796.97</v>
      </c>
      <c r="R627" s="70">
        <f t="shared" si="757"/>
        <v>638.4</v>
      </c>
      <c r="S627" s="387" t="s">
        <v>452</v>
      </c>
    </row>
    <row r="628" spans="1:19" s="107" customFormat="1" ht="87" customHeight="1" x14ac:dyDescent="0.25">
      <c r="A628" s="266"/>
      <c r="B628" s="163" t="s">
        <v>10</v>
      </c>
      <c r="C628" s="80"/>
      <c r="D628" s="81"/>
      <c r="E628" s="81"/>
      <c r="F628" s="82"/>
      <c r="G628" s="81"/>
      <c r="H628" s="81"/>
      <c r="I628" s="81"/>
      <c r="J628" s="44" t="e">
        <f t="shared" ref="J628" si="788">I628/H628</f>
        <v>#DIV/0!</v>
      </c>
      <c r="K628" s="41"/>
      <c r="L628" s="44" t="e">
        <f t="shared" ref="L628" si="789">K628/H628</f>
        <v>#DIV/0!</v>
      </c>
      <c r="M628" s="44" t="e">
        <f t="shared" ref="M628" si="790">K628/I628</f>
        <v>#DIV/0!</v>
      </c>
      <c r="N628" s="41"/>
      <c r="O628" s="41">
        <f t="shared" si="781"/>
        <v>0</v>
      </c>
      <c r="P628" s="44" t="e">
        <f t="shared" si="755"/>
        <v>#DIV/0!</v>
      </c>
      <c r="Q628" s="81">
        <f t="shared" si="756"/>
        <v>0</v>
      </c>
      <c r="R628" s="81">
        <f t="shared" si="757"/>
        <v>0</v>
      </c>
      <c r="S628" s="388"/>
    </row>
    <row r="629" spans="1:19" s="107" customFormat="1" ht="87" customHeight="1" x14ac:dyDescent="0.25">
      <c r="A629" s="266"/>
      <c r="B629" s="163" t="s">
        <v>531</v>
      </c>
      <c r="C629" s="80"/>
      <c r="D629" s="81"/>
      <c r="E629" s="81"/>
      <c r="F629" s="81">
        <f>D629-E629</f>
        <v>0</v>
      </c>
      <c r="G629" s="81">
        <v>638.4</v>
      </c>
      <c r="H629" s="81">
        <v>638.4</v>
      </c>
      <c r="I629" s="81">
        <v>638.4</v>
      </c>
      <c r="J629" s="84">
        <f>I629/H629</f>
        <v>1</v>
      </c>
      <c r="K629" s="81"/>
      <c r="L629" s="84">
        <f>K629/H629</f>
        <v>0</v>
      </c>
      <c r="M629" s="84">
        <f>K629/I629</f>
        <v>0</v>
      </c>
      <c r="N629" s="81">
        <f>H629</f>
        <v>638.4</v>
      </c>
      <c r="O629" s="81">
        <f t="shared" si="781"/>
        <v>0</v>
      </c>
      <c r="P629" s="84">
        <f t="shared" si="755"/>
        <v>1</v>
      </c>
      <c r="Q629" s="81">
        <f t="shared" si="756"/>
        <v>638.4</v>
      </c>
      <c r="R629" s="81">
        <f t="shared" si="757"/>
        <v>638.4</v>
      </c>
      <c r="S629" s="388"/>
    </row>
    <row r="630" spans="1:19" s="107" customFormat="1" ht="87" customHeight="1" x14ac:dyDescent="0.25">
      <c r="A630" s="266"/>
      <c r="B630" s="226" t="s">
        <v>20</v>
      </c>
      <c r="C630" s="75"/>
      <c r="D630" s="76"/>
      <c r="E630" s="76"/>
      <c r="F630" s="76"/>
      <c r="G630" s="76">
        <v>273.60000000000002</v>
      </c>
      <c r="H630" s="76">
        <v>273.60000000000002</v>
      </c>
      <c r="I630" s="76">
        <v>115.03</v>
      </c>
      <c r="J630" s="78">
        <f t="shared" ref="J630:J632" si="791">I630/H630</f>
        <v>0.42</v>
      </c>
      <c r="K630" s="76">
        <v>115.03</v>
      </c>
      <c r="L630" s="78">
        <f t="shared" ref="L630:L632" si="792">K630/H630</f>
        <v>0.42</v>
      </c>
      <c r="M630" s="78">
        <f t="shared" ref="M630:M632" si="793">K630/I630</f>
        <v>1</v>
      </c>
      <c r="N630" s="76">
        <f>H630</f>
        <v>273.60000000000002</v>
      </c>
      <c r="O630" s="76">
        <f t="shared" si="781"/>
        <v>0</v>
      </c>
      <c r="P630" s="78">
        <f t="shared" si="755"/>
        <v>1</v>
      </c>
      <c r="Q630" s="76">
        <f t="shared" si="756"/>
        <v>158.57</v>
      </c>
      <c r="R630" s="76">
        <f t="shared" si="757"/>
        <v>0</v>
      </c>
      <c r="S630" s="388"/>
    </row>
    <row r="631" spans="1:19" s="107" customFormat="1" ht="87" customHeight="1" x14ac:dyDescent="0.25">
      <c r="A631" s="266"/>
      <c r="B631" s="163" t="s">
        <v>22</v>
      </c>
      <c r="C631" s="80"/>
      <c r="D631" s="81"/>
      <c r="E631" s="81"/>
      <c r="F631" s="82"/>
      <c r="G631" s="81"/>
      <c r="H631" s="82"/>
      <c r="I631" s="81"/>
      <c r="J631" s="44" t="e">
        <f t="shared" si="791"/>
        <v>#DIV/0!</v>
      </c>
      <c r="K631" s="41"/>
      <c r="L631" s="44" t="e">
        <f t="shared" si="792"/>
        <v>#DIV/0!</v>
      </c>
      <c r="M631" s="44" t="e">
        <f t="shared" si="793"/>
        <v>#DIV/0!</v>
      </c>
      <c r="N631" s="41"/>
      <c r="O631" s="332">
        <f t="shared" si="781"/>
        <v>0</v>
      </c>
      <c r="P631" s="44" t="e">
        <f t="shared" si="755"/>
        <v>#DIV/0!</v>
      </c>
      <c r="Q631" s="81">
        <f t="shared" si="756"/>
        <v>0</v>
      </c>
      <c r="R631" s="82">
        <f t="shared" si="757"/>
        <v>0</v>
      </c>
      <c r="S631" s="388"/>
    </row>
    <row r="632" spans="1:19" s="107" customFormat="1" ht="82.5" customHeight="1" collapsed="1" x14ac:dyDescent="0.25">
      <c r="A632" s="267"/>
      <c r="B632" s="226" t="s">
        <v>11</v>
      </c>
      <c r="C632" s="75"/>
      <c r="D632" s="76"/>
      <c r="E632" s="76"/>
      <c r="F632" s="79"/>
      <c r="G632" s="76"/>
      <c r="H632" s="79"/>
      <c r="I632" s="76"/>
      <c r="J632" s="39" t="e">
        <f t="shared" si="791"/>
        <v>#DIV/0!</v>
      </c>
      <c r="K632" s="37"/>
      <c r="L632" s="39" t="e">
        <f t="shared" si="792"/>
        <v>#DIV/0!</v>
      </c>
      <c r="M632" s="39" t="e">
        <f t="shared" si="793"/>
        <v>#DIV/0!</v>
      </c>
      <c r="N632" s="37"/>
      <c r="O632" s="60">
        <f t="shared" si="781"/>
        <v>0</v>
      </c>
      <c r="P632" s="39" t="e">
        <f t="shared" si="755"/>
        <v>#DIV/0!</v>
      </c>
      <c r="Q632" s="76">
        <f t="shared" si="756"/>
        <v>0</v>
      </c>
      <c r="R632" s="79">
        <f t="shared" si="757"/>
        <v>0</v>
      </c>
      <c r="S632" s="389"/>
    </row>
    <row r="633" spans="1:19" s="239" customFormat="1" ht="69.75" x14ac:dyDescent="0.25">
      <c r="A633" s="256" t="s">
        <v>148</v>
      </c>
      <c r="B633" s="69" t="s">
        <v>177</v>
      </c>
      <c r="C633" s="69" t="s">
        <v>17</v>
      </c>
      <c r="D633" s="70">
        <f t="shared" ref="D633:I633" si="794">SUM(D634:D638)</f>
        <v>0</v>
      </c>
      <c r="E633" s="70">
        <f t="shared" si="794"/>
        <v>0</v>
      </c>
      <c r="F633" s="70">
        <f t="shared" si="794"/>
        <v>0</v>
      </c>
      <c r="G633" s="70">
        <f t="shared" si="794"/>
        <v>9172.5</v>
      </c>
      <c r="H633" s="70">
        <f t="shared" si="794"/>
        <v>9172.5</v>
      </c>
      <c r="I633" s="70">
        <f t="shared" si="794"/>
        <v>4583</v>
      </c>
      <c r="J633" s="73">
        <f>I633/H633</f>
        <v>0.5</v>
      </c>
      <c r="K633" s="70">
        <f>SUM(K634:K638)</f>
        <v>3338.01</v>
      </c>
      <c r="L633" s="73">
        <f>K633/H633</f>
        <v>0.36</v>
      </c>
      <c r="M633" s="73">
        <f>K633/I633</f>
        <v>0.73</v>
      </c>
      <c r="N633" s="70">
        <f>SUM(N634:N638)</f>
        <v>9172.5</v>
      </c>
      <c r="O633" s="70">
        <f t="shared" si="781"/>
        <v>0</v>
      </c>
      <c r="P633" s="73">
        <f t="shared" si="755"/>
        <v>1</v>
      </c>
      <c r="Q633" s="70">
        <f t="shared" si="756"/>
        <v>5834.49</v>
      </c>
      <c r="R633" s="70">
        <f t="shared" si="757"/>
        <v>1244.99</v>
      </c>
      <c r="S633" s="372" t="s">
        <v>453</v>
      </c>
    </row>
    <row r="634" spans="1:19" s="107" customFormat="1" x14ac:dyDescent="0.25">
      <c r="A634" s="266"/>
      <c r="B634" s="226" t="s">
        <v>10</v>
      </c>
      <c r="C634" s="75"/>
      <c r="D634" s="76"/>
      <c r="E634" s="76"/>
      <c r="F634" s="79"/>
      <c r="G634" s="76"/>
      <c r="H634" s="76"/>
      <c r="I634" s="76"/>
      <c r="J634" s="39" t="e">
        <f t="shared" ref="J634" si="795">I634/H634</f>
        <v>#DIV/0!</v>
      </c>
      <c r="K634" s="37"/>
      <c r="L634" s="39" t="e">
        <f t="shared" ref="L634" si="796">K634/H634</f>
        <v>#DIV/0!</v>
      </c>
      <c r="M634" s="39" t="e">
        <f t="shared" ref="M634" si="797">K634/I634</f>
        <v>#DIV/0!</v>
      </c>
      <c r="N634" s="37"/>
      <c r="O634" s="37">
        <f t="shared" si="781"/>
        <v>0</v>
      </c>
      <c r="P634" s="39" t="e">
        <f t="shared" si="755"/>
        <v>#DIV/0!</v>
      </c>
      <c r="Q634" s="76">
        <f t="shared" si="756"/>
        <v>0</v>
      </c>
      <c r="R634" s="76">
        <f t="shared" si="757"/>
        <v>0</v>
      </c>
      <c r="S634" s="373"/>
    </row>
    <row r="635" spans="1:19" s="107" customFormat="1" x14ac:dyDescent="0.25">
      <c r="A635" s="266"/>
      <c r="B635" s="226" t="s">
        <v>531</v>
      </c>
      <c r="C635" s="75"/>
      <c r="D635" s="76"/>
      <c r="E635" s="76"/>
      <c r="F635" s="76">
        <f>D635-E635</f>
        <v>0</v>
      </c>
      <c r="G635" s="76">
        <v>9172.5</v>
      </c>
      <c r="H635" s="76">
        <v>9172.5</v>
      </c>
      <c r="I635" s="76">
        <v>4583</v>
      </c>
      <c r="J635" s="78">
        <f>I635/H635</f>
        <v>0.5</v>
      </c>
      <c r="K635" s="76">
        <v>3338.01</v>
      </c>
      <c r="L635" s="78">
        <f>K635/H635</f>
        <v>0.36</v>
      </c>
      <c r="M635" s="78">
        <f>K635/I635</f>
        <v>0.73</v>
      </c>
      <c r="N635" s="76">
        <f>H635</f>
        <v>9172.5</v>
      </c>
      <c r="O635" s="76">
        <f t="shared" si="781"/>
        <v>0</v>
      </c>
      <c r="P635" s="78">
        <f t="shared" si="755"/>
        <v>1</v>
      </c>
      <c r="Q635" s="76">
        <f t="shared" si="756"/>
        <v>5834.49</v>
      </c>
      <c r="R635" s="76">
        <f t="shared" si="757"/>
        <v>1244.99</v>
      </c>
      <c r="S635" s="373"/>
    </row>
    <row r="636" spans="1:19" s="107" customFormat="1" x14ac:dyDescent="0.25">
      <c r="A636" s="266"/>
      <c r="B636" s="226" t="s">
        <v>20</v>
      </c>
      <c r="C636" s="75"/>
      <c r="D636" s="76"/>
      <c r="E636" s="76"/>
      <c r="F636" s="76"/>
      <c r="G636" s="76"/>
      <c r="H636" s="76"/>
      <c r="I636" s="76"/>
      <c r="J636" s="39" t="e">
        <f t="shared" ref="J636:J662" si="798">I636/H636</f>
        <v>#DIV/0!</v>
      </c>
      <c r="K636" s="37"/>
      <c r="L636" s="39" t="e">
        <f t="shared" ref="L636:L638" si="799">K636/H636</f>
        <v>#DIV/0!</v>
      </c>
      <c r="M636" s="39" t="e">
        <f t="shared" ref="M636:M638" si="800">K636/I636</f>
        <v>#DIV/0!</v>
      </c>
      <c r="N636" s="37"/>
      <c r="O636" s="37">
        <f t="shared" si="781"/>
        <v>0</v>
      </c>
      <c r="P636" s="39" t="e">
        <f t="shared" si="755"/>
        <v>#DIV/0!</v>
      </c>
      <c r="Q636" s="76">
        <f t="shared" si="756"/>
        <v>0</v>
      </c>
      <c r="R636" s="76">
        <f t="shared" si="757"/>
        <v>0</v>
      </c>
      <c r="S636" s="373"/>
    </row>
    <row r="637" spans="1:19" s="107" customFormat="1" x14ac:dyDescent="0.25">
      <c r="A637" s="266"/>
      <c r="B637" s="163" t="s">
        <v>22</v>
      </c>
      <c r="C637" s="80"/>
      <c r="D637" s="81"/>
      <c r="E637" s="81"/>
      <c r="F637" s="82"/>
      <c r="G637" s="81"/>
      <c r="H637" s="82"/>
      <c r="I637" s="81"/>
      <c r="J637" s="39" t="e">
        <f t="shared" si="798"/>
        <v>#DIV/0!</v>
      </c>
      <c r="K637" s="41"/>
      <c r="L637" s="39" t="e">
        <f t="shared" si="799"/>
        <v>#DIV/0!</v>
      </c>
      <c r="M637" s="39" t="e">
        <f t="shared" si="800"/>
        <v>#DIV/0!</v>
      </c>
      <c r="N637" s="41"/>
      <c r="O637" s="332">
        <f t="shared" si="781"/>
        <v>0</v>
      </c>
      <c r="P637" s="39" t="e">
        <f t="shared" si="755"/>
        <v>#DIV/0!</v>
      </c>
      <c r="Q637" s="81">
        <f t="shared" si="756"/>
        <v>0</v>
      </c>
      <c r="R637" s="82">
        <f t="shared" si="757"/>
        <v>0</v>
      </c>
      <c r="S637" s="373"/>
    </row>
    <row r="638" spans="1:19" s="107" customFormat="1" collapsed="1" x14ac:dyDescent="0.25">
      <c r="A638" s="267"/>
      <c r="B638" s="226" t="s">
        <v>11</v>
      </c>
      <c r="C638" s="75"/>
      <c r="D638" s="76"/>
      <c r="E638" s="76"/>
      <c r="F638" s="79"/>
      <c r="G638" s="76"/>
      <c r="H638" s="79"/>
      <c r="I638" s="76"/>
      <c r="J638" s="39" t="e">
        <f t="shared" si="798"/>
        <v>#DIV/0!</v>
      </c>
      <c r="K638" s="37"/>
      <c r="L638" s="39" t="e">
        <f t="shared" si="799"/>
        <v>#DIV/0!</v>
      </c>
      <c r="M638" s="39" t="e">
        <f t="shared" si="800"/>
        <v>#DIV/0!</v>
      </c>
      <c r="N638" s="37"/>
      <c r="O638" s="60">
        <f t="shared" si="781"/>
        <v>0</v>
      </c>
      <c r="P638" s="39" t="e">
        <f t="shared" si="755"/>
        <v>#DIV/0!</v>
      </c>
      <c r="Q638" s="76">
        <f t="shared" si="756"/>
        <v>0</v>
      </c>
      <c r="R638" s="79">
        <f t="shared" si="757"/>
        <v>0</v>
      </c>
      <c r="S638" s="374"/>
    </row>
    <row r="639" spans="1:19" s="239" customFormat="1" ht="102" customHeight="1" x14ac:dyDescent="0.25">
      <c r="A639" s="256" t="s">
        <v>312</v>
      </c>
      <c r="B639" s="69" t="s">
        <v>207</v>
      </c>
      <c r="C639" s="69" t="s">
        <v>17</v>
      </c>
      <c r="D639" s="70">
        <f t="shared" ref="D639:I639" si="801">SUM(D640:D644)</f>
        <v>0</v>
      </c>
      <c r="E639" s="70">
        <f t="shared" si="801"/>
        <v>0</v>
      </c>
      <c r="F639" s="70">
        <f t="shared" si="801"/>
        <v>0</v>
      </c>
      <c r="G639" s="70">
        <f t="shared" si="801"/>
        <v>307.5</v>
      </c>
      <c r="H639" s="70">
        <f t="shared" si="801"/>
        <v>307.5</v>
      </c>
      <c r="I639" s="70">
        <f t="shared" si="801"/>
        <v>0</v>
      </c>
      <c r="J639" s="73">
        <f>I639/H639</f>
        <v>0</v>
      </c>
      <c r="K639" s="70">
        <f>SUM(K640:K644)</f>
        <v>0</v>
      </c>
      <c r="L639" s="73">
        <f>K639/H639</f>
        <v>0</v>
      </c>
      <c r="M639" s="56" t="e">
        <f>K639/I639</f>
        <v>#DIV/0!</v>
      </c>
      <c r="N639" s="70">
        <f>SUM(N640:N644)</f>
        <v>307.5</v>
      </c>
      <c r="O639" s="70">
        <f t="shared" si="781"/>
        <v>0</v>
      </c>
      <c r="P639" s="73">
        <f t="shared" si="755"/>
        <v>1</v>
      </c>
      <c r="Q639" s="70">
        <f t="shared" si="756"/>
        <v>307.5</v>
      </c>
      <c r="R639" s="70">
        <f t="shared" si="757"/>
        <v>0</v>
      </c>
      <c r="S639" s="372" t="s">
        <v>236</v>
      </c>
    </row>
    <row r="640" spans="1:19" s="107" customFormat="1" ht="32.25" customHeight="1" x14ac:dyDescent="0.25">
      <c r="A640" s="266"/>
      <c r="B640" s="226" t="s">
        <v>10</v>
      </c>
      <c r="C640" s="75"/>
      <c r="D640" s="76"/>
      <c r="E640" s="76"/>
      <c r="F640" s="79"/>
      <c r="G640" s="76">
        <v>307.5</v>
      </c>
      <c r="H640" s="76">
        <v>307.5</v>
      </c>
      <c r="I640" s="76"/>
      <c r="J640" s="78">
        <f t="shared" ref="J640" si="802">I640/H640</f>
        <v>0</v>
      </c>
      <c r="K640" s="76"/>
      <c r="L640" s="78">
        <f t="shared" ref="L640" si="803">K640/H640</f>
        <v>0</v>
      </c>
      <c r="M640" s="39" t="e">
        <f t="shared" ref="M640" si="804">K640/I640</f>
        <v>#DIV/0!</v>
      </c>
      <c r="N640" s="76">
        <f>H640</f>
        <v>307.5</v>
      </c>
      <c r="O640" s="76">
        <f t="shared" si="781"/>
        <v>0</v>
      </c>
      <c r="P640" s="78">
        <f t="shared" si="755"/>
        <v>1</v>
      </c>
      <c r="Q640" s="76">
        <f t="shared" si="756"/>
        <v>307.5</v>
      </c>
      <c r="R640" s="76">
        <f t="shared" si="757"/>
        <v>0</v>
      </c>
      <c r="S640" s="373"/>
    </row>
    <row r="641" spans="1:19" s="107" customFormat="1" ht="32.25" customHeight="1" x14ac:dyDescent="0.25">
      <c r="A641" s="266"/>
      <c r="B641" s="226" t="s">
        <v>8</v>
      </c>
      <c r="C641" s="75"/>
      <c r="D641" s="76"/>
      <c r="E641" s="76"/>
      <c r="F641" s="76">
        <f>D641-E641</f>
        <v>0</v>
      </c>
      <c r="G641" s="76"/>
      <c r="H641" s="76"/>
      <c r="I641" s="76"/>
      <c r="J641" s="39" t="e">
        <f>I641/H641</f>
        <v>#DIV/0!</v>
      </c>
      <c r="K641" s="37"/>
      <c r="L641" s="39" t="e">
        <f>K641/H641</f>
        <v>#DIV/0!</v>
      </c>
      <c r="M641" s="39" t="e">
        <f>K641/I641</f>
        <v>#DIV/0!</v>
      </c>
      <c r="N641" s="37">
        <f>H641</f>
        <v>0</v>
      </c>
      <c r="O641" s="37">
        <f t="shared" si="781"/>
        <v>0</v>
      </c>
      <c r="P641" s="39" t="e">
        <f t="shared" si="755"/>
        <v>#DIV/0!</v>
      </c>
      <c r="Q641" s="76">
        <f t="shared" si="756"/>
        <v>0</v>
      </c>
      <c r="R641" s="76">
        <f t="shared" si="757"/>
        <v>0</v>
      </c>
      <c r="S641" s="373"/>
    </row>
    <row r="642" spans="1:19" s="107" customFormat="1" ht="32.25" customHeight="1" x14ac:dyDescent="0.25">
      <c r="A642" s="266"/>
      <c r="B642" s="226" t="s">
        <v>20</v>
      </c>
      <c r="C642" s="75"/>
      <c r="D642" s="76"/>
      <c r="E642" s="76"/>
      <c r="F642" s="76"/>
      <c r="G642" s="76"/>
      <c r="H642" s="76"/>
      <c r="I642" s="76"/>
      <c r="J642" s="39" t="e">
        <f t="shared" ref="J642:J644" si="805">I642/H642</f>
        <v>#DIV/0!</v>
      </c>
      <c r="K642" s="37"/>
      <c r="L642" s="39" t="e">
        <f t="shared" ref="L642:L644" si="806">K642/H642</f>
        <v>#DIV/0!</v>
      </c>
      <c r="M642" s="39" t="e">
        <f t="shared" ref="M642:M644" si="807">K642/I642</f>
        <v>#DIV/0!</v>
      </c>
      <c r="N642" s="37"/>
      <c r="O642" s="37">
        <f t="shared" si="781"/>
        <v>0</v>
      </c>
      <c r="P642" s="39" t="e">
        <f t="shared" si="755"/>
        <v>#DIV/0!</v>
      </c>
      <c r="Q642" s="76">
        <f t="shared" si="756"/>
        <v>0</v>
      </c>
      <c r="R642" s="76">
        <f t="shared" si="757"/>
        <v>0</v>
      </c>
      <c r="S642" s="373"/>
    </row>
    <row r="643" spans="1:19" s="107" customFormat="1" ht="32.25" customHeight="1" x14ac:dyDescent="0.25">
      <c r="A643" s="266"/>
      <c r="B643" s="163" t="s">
        <v>22</v>
      </c>
      <c r="C643" s="80"/>
      <c r="D643" s="81"/>
      <c r="E643" s="81"/>
      <c r="F643" s="82"/>
      <c r="G643" s="81"/>
      <c r="H643" s="82"/>
      <c r="I643" s="81"/>
      <c r="J643" s="39" t="e">
        <f t="shared" si="805"/>
        <v>#DIV/0!</v>
      </c>
      <c r="K643" s="41"/>
      <c r="L643" s="39" t="e">
        <f t="shared" si="806"/>
        <v>#DIV/0!</v>
      </c>
      <c r="M643" s="39" t="e">
        <f t="shared" si="807"/>
        <v>#DIV/0!</v>
      </c>
      <c r="N643" s="41"/>
      <c r="O643" s="332">
        <f t="shared" si="781"/>
        <v>0</v>
      </c>
      <c r="P643" s="39" t="e">
        <f t="shared" si="755"/>
        <v>#DIV/0!</v>
      </c>
      <c r="Q643" s="81">
        <f t="shared" si="756"/>
        <v>0</v>
      </c>
      <c r="R643" s="82">
        <f t="shared" si="757"/>
        <v>0</v>
      </c>
      <c r="S643" s="373"/>
    </row>
    <row r="644" spans="1:19" s="107" customFormat="1" ht="32.25" customHeight="1" collapsed="1" x14ac:dyDescent="0.25">
      <c r="A644" s="267"/>
      <c r="B644" s="226" t="s">
        <v>11</v>
      </c>
      <c r="C644" s="75"/>
      <c r="D644" s="76"/>
      <c r="E644" s="76"/>
      <c r="F644" s="79"/>
      <c r="G644" s="76"/>
      <c r="H644" s="79"/>
      <c r="I644" s="76"/>
      <c r="J644" s="39" t="e">
        <f t="shared" si="805"/>
        <v>#DIV/0!</v>
      </c>
      <c r="K644" s="37"/>
      <c r="L644" s="39" t="e">
        <f t="shared" si="806"/>
        <v>#DIV/0!</v>
      </c>
      <c r="M644" s="39" t="e">
        <f t="shared" si="807"/>
        <v>#DIV/0!</v>
      </c>
      <c r="N644" s="37"/>
      <c r="O644" s="60">
        <f t="shared" si="781"/>
        <v>0</v>
      </c>
      <c r="P644" s="39" t="e">
        <f t="shared" si="755"/>
        <v>#DIV/0!</v>
      </c>
      <c r="Q644" s="76">
        <f t="shared" si="756"/>
        <v>0</v>
      </c>
      <c r="R644" s="79">
        <f t="shared" si="757"/>
        <v>0</v>
      </c>
      <c r="S644" s="374"/>
    </row>
    <row r="645" spans="1:19" s="107" customFormat="1" ht="139.5" customHeight="1" x14ac:dyDescent="0.25">
      <c r="A645" s="253" t="s">
        <v>178</v>
      </c>
      <c r="B645" s="154" t="s">
        <v>470</v>
      </c>
      <c r="C645" s="154" t="s">
        <v>2</v>
      </c>
      <c r="D645" s="155">
        <f t="shared" ref="D645:I645" si="808">SUM(D646:D650)</f>
        <v>0</v>
      </c>
      <c r="E645" s="155">
        <f t="shared" si="808"/>
        <v>0</v>
      </c>
      <c r="F645" s="155">
        <f t="shared" si="808"/>
        <v>0</v>
      </c>
      <c r="G645" s="155">
        <f t="shared" si="808"/>
        <v>0</v>
      </c>
      <c r="H645" s="155">
        <f t="shared" si="808"/>
        <v>1100</v>
      </c>
      <c r="I645" s="155">
        <f t="shared" si="808"/>
        <v>0</v>
      </c>
      <c r="J645" s="54">
        <f t="shared" ref="J645:J656" si="809">I645/H645</f>
        <v>0</v>
      </c>
      <c r="K645" s="87">
        <f>SUM(K646:K650)</f>
        <v>0</v>
      </c>
      <c r="L645" s="54">
        <f t="shared" ref="L645:L657" si="810">K645/H645</f>
        <v>0</v>
      </c>
      <c r="M645" s="54" t="e">
        <f t="shared" ref="M645:M657" si="811">K645/I645</f>
        <v>#DIV/0!</v>
      </c>
      <c r="N645" s="155">
        <f>SUM(N646:N650)</f>
        <v>1100</v>
      </c>
      <c r="O645" s="155">
        <f>H645-N645</f>
        <v>0</v>
      </c>
      <c r="P645" s="182">
        <f t="shared" ref="P645:P656" si="812">N645/H645</f>
        <v>1</v>
      </c>
      <c r="Q645" s="155">
        <f t="shared" ref="Q645:Q656" si="813">H645-K645</f>
        <v>1100</v>
      </c>
      <c r="R645" s="155">
        <f t="shared" ref="R645:R656" si="814">I645-K645</f>
        <v>0</v>
      </c>
      <c r="S645" s="288" t="s">
        <v>483</v>
      </c>
    </row>
    <row r="646" spans="1:19" s="107" customFormat="1" ht="32.25" customHeight="1" x14ac:dyDescent="0.25">
      <c r="A646" s="266"/>
      <c r="B646" s="226" t="s">
        <v>10</v>
      </c>
      <c r="C646" s="75"/>
      <c r="D646" s="76"/>
      <c r="E646" s="76"/>
      <c r="F646" s="76"/>
      <c r="G646" s="76">
        <f t="shared" ref="G646:I650" si="815">G652</f>
        <v>0</v>
      </c>
      <c r="H646" s="76">
        <f t="shared" si="815"/>
        <v>0</v>
      </c>
      <c r="I646" s="76">
        <f t="shared" si="815"/>
        <v>0</v>
      </c>
      <c r="J646" s="39" t="e">
        <f t="shared" si="809"/>
        <v>#DIV/0!</v>
      </c>
      <c r="K646" s="37">
        <f>K652</f>
        <v>0</v>
      </c>
      <c r="L646" s="39" t="e">
        <f t="shared" si="810"/>
        <v>#DIV/0!</v>
      </c>
      <c r="M646" s="39" t="e">
        <f t="shared" si="811"/>
        <v>#DIV/0!</v>
      </c>
      <c r="N646" s="76">
        <f t="shared" ref="N646:O650" si="816">N652</f>
        <v>0</v>
      </c>
      <c r="O646" s="76">
        <f t="shared" si="816"/>
        <v>0</v>
      </c>
      <c r="P646" s="39" t="e">
        <f t="shared" si="812"/>
        <v>#DIV/0!</v>
      </c>
      <c r="Q646" s="76">
        <f t="shared" si="813"/>
        <v>0</v>
      </c>
      <c r="R646" s="76">
        <f t="shared" si="814"/>
        <v>0</v>
      </c>
      <c r="S646" s="289"/>
    </row>
    <row r="647" spans="1:19" s="107" customFormat="1" ht="32.25" customHeight="1" x14ac:dyDescent="0.25">
      <c r="A647" s="266"/>
      <c r="B647" s="226" t="s">
        <v>8</v>
      </c>
      <c r="C647" s="75"/>
      <c r="D647" s="76"/>
      <c r="E647" s="76"/>
      <c r="F647" s="76">
        <f>D647-E647</f>
        <v>0</v>
      </c>
      <c r="G647" s="76">
        <f t="shared" si="815"/>
        <v>0</v>
      </c>
      <c r="H647" s="76">
        <f t="shared" si="815"/>
        <v>1100</v>
      </c>
      <c r="I647" s="76">
        <f t="shared" si="815"/>
        <v>0</v>
      </c>
      <c r="J647" s="39">
        <f t="shared" si="809"/>
        <v>0</v>
      </c>
      <c r="K647" s="37">
        <f>K653</f>
        <v>0</v>
      </c>
      <c r="L647" s="39">
        <f t="shared" si="810"/>
        <v>0</v>
      </c>
      <c r="M647" s="39" t="e">
        <f t="shared" si="811"/>
        <v>#DIV/0!</v>
      </c>
      <c r="N647" s="76">
        <f t="shared" si="816"/>
        <v>1100</v>
      </c>
      <c r="O647" s="76">
        <f t="shared" si="816"/>
        <v>0</v>
      </c>
      <c r="P647" s="78">
        <f t="shared" si="812"/>
        <v>1</v>
      </c>
      <c r="Q647" s="76">
        <f t="shared" si="813"/>
        <v>1100</v>
      </c>
      <c r="R647" s="76">
        <f t="shared" si="814"/>
        <v>0</v>
      </c>
      <c r="S647" s="289"/>
    </row>
    <row r="648" spans="1:19" s="107" customFormat="1" ht="32.25" customHeight="1" x14ac:dyDescent="0.25">
      <c r="A648" s="266"/>
      <c r="B648" s="226" t="s">
        <v>20</v>
      </c>
      <c r="C648" s="75"/>
      <c r="D648" s="76"/>
      <c r="E648" s="76"/>
      <c r="F648" s="76"/>
      <c r="G648" s="76">
        <f t="shared" si="815"/>
        <v>0</v>
      </c>
      <c r="H648" s="76">
        <f t="shared" si="815"/>
        <v>0</v>
      </c>
      <c r="I648" s="76">
        <f t="shared" si="815"/>
        <v>0</v>
      </c>
      <c r="J648" s="39" t="e">
        <f t="shared" si="809"/>
        <v>#DIV/0!</v>
      </c>
      <c r="K648" s="37">
        <f>K654</f>
        <v>0</v>
      </c>
      <c r="L648" s="39" t="e">
        <f t="shared" si="810"/>
        <v>#DIV/0!</v>
      </c>
      <c r="M648" s="39" t="e">
        <f t="shared" si="811"/>
        <v>#DIV/0!</v>
      </c>
      <c r="N648" s="37">
        <f t="shared" si="816"/>
        <v>0</v>
      </c>
      <c r="O648" s="37">
        <f t="shared" si="816"/>
        <v>0</v>
      </c>
      <c r="P648" s="39" t="e">
        <f t="shared" si="812"/>
        <v>#DIV/0!</v>
      </c>
      <c r="Q648" s="76">
        <f t="shared" si="813"/>
        <v>0</v>
      </c>
      <c r="R648" s="76">
        <f t="shared" si="814"/>
        <v>0</v>
      </c>
      <c r="S648" s="289"/>
    </row>
    <row r="649" spans="1:19" s="107" customFormat="1" ht="32.25" customHeight="1" x14ac:dyDescent="0.25">
      <c r="A649" s="266"/>
      <c r="B649" s="163" t="s">
        <v>22</v>
      </c>
      <c r="C649" s="80"/>
      <c r="D649" s="81"/>
      <c r="E649" s="81"/>
      <c r="F649" s="81"/>
      <c r="G649" s="76">
        <f t="shared" si="815"/>
        <v>0</v>
      </c>
      <c r="H649" s="76">
        <f t="shared" si="815"/>
        <v>0</v>
      </c>
      <c r="I649" s="76">
        <f t="shared" si="815"/>
        <v>0</v>
      </c>
      <c r="J649" s="39" t="e">
        <f t="shared" si="809"/>
        <v>#DIV/0!</v>
      </c>
      <c r="K649" s="37">
        <f>K655</f>
        <v>0</v>
      </c>
      <c r="L649" s="39" t="e">
        <f t="shared" si="810"/>
        <v>#DIV/0!</v>
      </c>
      <c r="M649" s="39" t="e">
        <f t="shared" si="811"/>
        <v>#DIV/0!</v>
      </c>
      <c r="N649" s="37">
        <f t="shared" si="816"/>
        <v>0</v>
      </c>
      <c r="O649" s="37">
        <f t="shared" si="816"/>
        <v>0</v>
      </c>
      <c r="P649" s="39" t="e">
        <f t="shared" si="812"/>
        <v>#DIV/0!</v>
      </c>
      <c r="Q649" s="76">
        <f t="shared" si="813"/>
        <v>0</v>
      </c>
      <c r="R649" s="76">
        <f t="shared" si="814"/>
        <v>0</v>
      </c>
      <c r="S649" s="289"/>
    </row>
    <row r="650" spans="1:19" s="107" customFormat="1" ht="32.25" customHeight="1" x14ac:dyDescent="0.25">
      <c r="A650" s="267"/>
      <c r="B650" s="226" t="s">
        <v>11</v>
      </c>
      <c r="C650" s="75"/>
      <c r="D650" s="76"/>
      <c r="E650" s="76"/>
      <c r="F650" s="76"/>
      <c r="G650" s="76">
        <f t="shared" si="815"/>
        <v>0</v>
      </c>
      <c r="H650" s="76">
        <f t="shared" si="815"/>
        <v>0</v>
      </c>
      <c r="I650" s="76">
        <f t="shared" si="815"/>
        <v>0</v>
      </c>
      <c r="J650" s="39" t="e">
        <f t="shared" si="809"/>
        <v>#DIV/0!</v>
      </c>
      <c r="K650" s="37">
        <f>K656</f>
        <v>0</v>
      </c>
      <c r="L650" s="39" t="e">
        <f t="shared" si="810"/>
        <v>#DIV/0!</v>
      </c>
      <c r="M650" s="39" t="e">
        <f t="shared" si="811"/>
        <v>#DIV/0!</v>
      </c>
      <c r="N650" s="37">
        <f t="shared" si="816"/>
        <v>0</v>
      </c>
      <c r="O650" s="37">
        <f t="shared" si="816"/>
        <v>0</v>
      </c>
      <c r="P650" s="39" t="e">
        <f t="shared" si="812"/>
        <v>#DIV/0!</v>
      </c>
      <c r="Q650" s="76">
        <f t="shared" si="813"/>
        <v>0</v>
      </c>
      <c r="R650" s="76">
        <f t="shared" si="814"/>
        <v>0</v>
      </c>
      <c r="S650" s="290"/>
    </row>
    <row r="651" spans="1:19" s="245" customFormat="1" ht="58.5" customHeight="1" x14ac:dyDescent="0.25">
      <c r="A651" s="253" t="s">
        <v>180</v>
      </c>
      <c r="B651" s="154" t="s">
        <v>471</v>
      </c>
      <c r="C651" s="154" t="s">
        <v>17</v>
      </c>
      <c r="D651" s="155">
        <f t="shared" ref="D651:I651" si="817">SUM(D652:D656)</f>
        <v>0</v>
      </c>
      <c r="E651" s="155">
        <f t="shared" si="817"/>
        <v>0</v>
      </c>
      <c r="F651" s="155">
        <f t="shared" si="817"/>
        <v>0</v>
      </c>
      <c r="G651" s="155">
        <f t="shared" si="817"/>
        <v>0</v>
      </c>
      <c r="H651" s="155">
        <f t="shared" si="817"/>
        <v>1100</v>
      </c>
      <c r="I651" s="155">
        <f t="shared" si="817"/>
        <v>0</v>
      </c>
      <c r="J651" s="54">
        <f t="shared" si="809"/>
        <v>0</v>
      </c>
      <c r="K651" s="87">
        <f>SUM(K652:K656)</f>
        <v>0</v>
      </c>
      <c r="L651" s="54">
        <f t="shared" si="810"/>
        <v>0</v>
      </c>
      <c r="M651" s="54" t="e">
        <f t="shared" si="811"/>
        <v>#DIV/0!</v>
      </c>
      <c r="N651" s="155">
        <f>SUM(N652:N656)</f>
        <v>1100</v>
      </c>
      <c r="O651" s="155">
        <f t="shared" ref="O651:O656" si="818">H651-N651</f>
        <v>0</v>
      </c>
      <c r="P651" s="182">
        <f t="shared" si="812"/>
        <v>1</v>
      </c>
      <c r="Q651" s="155">
        <f t="shared" si="813"/>
        <v>1100</v>
      </c>
      <c r="R651" s="155">
        <f t="shared" si="814"/>
        <v>0</v>
      </c>
      <c r="S651" s="154"/>
    </row>
    <row r="652" spans="1:19" s="107" customFormat="1" ht="32.25" customHeight="1" x14ac:dyDescent="0.25">
      <c r="A652" s="266"/>
      <c r="B652" s="226" t="s">
        <v>10</v>
      </c>
      <c r="C652" s="75"/>
      <c r="D652" s="76"/>
      <c r="E652" s="76"/>
      <c r="F652" s="79"/>
      <c r="G652" s="76"/>
      <c r="H652" s="76"/>
      <c r="I652" s="76"/>
      <c r="J652" s="39" t="e">
        <f t="shared" si="809"/>
        <v>#DIV/0!</v>
      </c>
      <c r="K652" s="37"/>
      <c r="L652" s="39" t="e">
        <f t="shared" si="810"/>
        <v>#DIV/0!</v>
      </c>
      <c r="M652" s="39" t="e">
        <f t="shared" si="811"/>
        <v>#DIV/0!</v>
      </c>
      <c r="N652" s="76">
        <f>H652</f>
        <v>0</v>
      </c>
      <c r="O652" s="76">
        <f t="shared" si="818"/>
        <v>0</v>
      </c>
      <c r="P652" s="39" t="e">
        <f t="shared" si="812"/>
        <v>#DIV/0!</v>
      </c>
      <c r="Q652" s="76">
        <f t="shared" si="813"/>
        <v>0</v>
      </c>
      <c r="R652" s="76">
        <f t="shared" si="814"/>
        <v>0</v>
      </c>
      <c r="S652" s="90"/>
    </row>
    <row r="653" spans="1:19" s="107" customFormat="1" ht="32.25" customHeight="1" x14ac:dyDescent="0.25">
      <c r="A653" s="266"/>
      <c r="B653" s="226" t="s">
        <v>8</v>
      </c>
      <c r="C653" s="75"/>
      <c r="D653" s="76"/>
      <c r="E653" s="76"/>
      <c r="F653" s="76">
        <f>D653-E653</f>
        <v>0</v>
      </c>
      <c r="G653" s="76"/>
      <c r="H653" s="76">
        <v>1100</v>
      </c>
      <c r="I653" s="76"/>
      <c r="J653" s="39">
        <f t="shared" si="809"/>
        <v>0</v>
      </c>
      <c r="K653" s="37"/>
      <c r="L653" s="39">
        <f t="shared" si="810"/>
        <v>0</v>
      </c>
      <c r="M653" s="39" t="e">
        <f t="shared" si="811"/>
        <v>#DIV/0!</v>
      </c>
      <c r="N653" s="76">
        <f>H653</f>
        <v>1100</v>
      </c>
      <c r="O653" s="76">
        <f t="shared" si="818"/>
        <v>0</v>
      </c>
      <c r="P653" s="78">
        <f t="shared" si="812"/>
        <v>1</v>
      </c>
      <c r="Q653" s="76">
        <f t="shared" si="813"/>
        <v>1100</v>
      </c>
      <c r="R653" s="76">
        <f t="shared" si="814"/>
        <v>0</v>
      </c>
      <c r="S653" s="90"/>
    </row>
    <row r="654" spans="1:19" s="107" customFormat="1" ht="32.25" customHeight="1" x14ac:dyDescent="0.25">
      <c r="A654" s="266"/>
      <c r="B654" s="226" t="s">
        <v>20</v>
      </c>
      <c r="C654" s="75"/>
      <c r="D654" s="76"/>
      <c r="E654" s="76"/>
      <c r="F654" s="76"/>
      <c r="G654" s="76"/>
      <c r="H654" s="76"/>
      <c r="I654" s="76"/>
      <c r="J654" s="39" t="e">
        <f t="shared" si="809"/>
        <v>#DIV/0!</v>
      </c>
      <c r="K654" s="37"/>
      <c r="L654" s="39" t="e">
        <f t="shared" si="810"/>
        <v>#DIV/0!</v>
      </c>
      <c r="M654" s="39" t="e">
        <f t="shared" si="811"/>
        <v>#DIV/0!</v>
      </c>
      <c r="N654" s="76">
        <f>H654</f>
        <v>0</v>
      </c>
      <c r="O654" s="76">
        <f t="shared" si="818"/>
        <v>0</v>
      </c>
      <c r="P654" s="39" t="e">
        <f t="shared" si="812"/>
        <v>#DIV/0!</v>
      </c>
      <c r="Q654" s="76">
        <f t="shared" si="813"/>
        <v>0</v>
      </c>
      <c r="R654" s="76">
        <f t="shared" si="814"/>
        <v>0</v>
      </c>
      <c r="S654" s="90"/>
    </row>
    <row r="655" spans="1:19" s="107" customFormat="1" ht="32.25" customHeight="1" x14ac:dyDescent="0.25">
      <c r="A655" s="266"/>
      <c r="B655" s="163" t="s">
        <v>22</v>
      </c>
      <c r="C655" s="80"/>
      <c r="D655" s="81"/>
      <c r="E655" s="81"/>
      <c r="F655" s="82"/>
      <c r="G655" s="81"/>
      <c r="H655" s="82"/>
      <c r="I655" s="81"/>
      <c r="J655" s="39" t="e">
        <f t="shared" si="809"/>
        <v>#DIV/0!</v>
      </c>
      <c r="K655" s="41"/>
      <c r="L655" s="39" t="e">
        <f t="shared" si="810"/>
        <v>#DIV/0!</v>
      </c>
      <c r="M655" s="39" t="e">
        <f t="shared" si="811"/>
        <v>#DIV/0!</v>
      </c>
      <c r="N655" s="81"/>
      <c r="O655" s="82">
        <f t="shared" si="818"/>
        <v>0</v>
      </c>
      <c r="P655" s="39" t="e">
        <f t="shared" si="812"/>
        <v>#DIV/0!</v>
      </c>
      <c r="Q655" s="81">
        <f t="shared" si="813"/>
        <v>0</v>
      </c>
      <c r="R655" s="82">
        <f t="shared" si="814"/>
        <v>0</v>
      </c>
      <c r="S655" s="90"/>
    </row>
    <row r="656" spans="1:19" s="107" customFormat="1" ht="32.25" customHeight="1" x14ac:dyDescent="0.25">
      <c r="A656" s="267"/>
      <c r="B656" s="226" t="s">
        <v>11</v>
      </c>
      <c r="C656" s="75"/>
      <c r="D656" s="76"/>
      <c r="E656" s="76"/>
      <c r="F656" s="79"/>
      <c r="G656" s="76"/>
      <c r="H656" s="79"/>
      <c r="I656" s="76"/>
      <c r="J656" s="39" t="e">
        <f t="shared" si="809"/>
        <v>#DIV/0!</v>
      </c>
      <c r="K656" s="37"/>
      <c r="L656" s="39" t="e">
        <f t="shared" si="810"/>
        <v>#DIV/0!</v>
      </c>
      <c r="M656" s="39" t="e">
        <f t="shared" si="811"/>
        <v>#DIV/0!</v>
      </c>
      <c r="N656" s="76"/>
      <c r="O656" s="79">
        <f t="shared" si="818"/>
        <v>0</v>
      </c>
      <c r="P656" s="39" t="e">
        <f t="shared" si="812"/>
        <v>#DIV/0!</v>
      </c>
      <c r="Q656" s="76">
        <f t="shared" si="813"/>
        <v>0</v>
      </c>
      <c r="R656" s="79">
        <f t="shared" si="814"/>
        <v>0</v>
      </c>
      <c r="S656" s="90"/>
    </row>
    <row r="657" spans="1:19" s="107" customFormat="1" ht="164.25" customHeight="1" outlineLevel="1" x14ac:dyDescent="0.25">
      <c r="A657" s="253" t="s">
        <v>468</v>
      </c>
      <c r="B657" s="154" t="s">
        <v>179</v>
      </c>
      <c r="C657" s="154" t="s">
        <v>2</v>
      </c>
      <c r="D657" s="155">
        <f t="shared" ref="D657:I657" si="819">SUM(D658:D662)</f>
        <v>0</v>
      </c>
      <c r="E657" s="155">
        <f t="shared" si="819"/>
        <v>0</v>
      </c>
      <c r="F657" s="155">
        <f t="shared" si="819"/>
        <v>0</v>
      </c>
      <c r="G657" s="155">
        <f t="shared" si="819"/>
        <v>26071.599999999999</v>
      </c>
      <c r="H657" s="155">
        <f t="shared" si="819"/>
        <v>26071.599999999999</v>
      </c>
      <c r="I657" s="155">
        <f t="shared" si="819"/>
        <v>14367.3</v>
      </c>
      <c r="J657" s="182">
        <f t="shared" si="798"/>
        <v>0.55000000000000004</v>
      </c>
      <c r="K657" s="155">
        <f>SUM(K658:K662)</f>
        <v>12476.42</v>
      </c>
      <c r="L657" s="182">
        <f t="shared" si="810"/>
        <v>0.48</v>
      </c>
      <c r="M657" s="182">
        <f t="shared" si="811"/>
        <v>0.87</v>
      </c>
      <c r="N657" s="155">
        <f t="shared" ref="N657" si="820">SUM(N658:N662)</f>
        <v>26071.599999999999</v>
      </c>
      <c r="O657" s="155">
        <f t="shared" si="781"/>
        <v>0</v>
      </c>
      <c r="P657" s="182">
        <f t="shared" ref="P657:P668" si="821">N657/H657</f>
        <v>1</v>
      </c>
      <c r="Q657" s="155">
        <f t="shared" si="756"/>
        <v>13595.18</v>
      </c>
      <c r="R657" s="155">
        <f t="shared" si="757"/>
        <v>1890.88</v>
      </c>
      <c r="S657" s="288" t="s">
        <v>454</v>
      </c>
    </row>
    <row r="658" spans="1:19" s="107" customFormat="1" outlineLevel="1" x14ac:dyDescent="0.25">
      <c r="A658" s="266"/>
      <c r="B658" s="226" t="s">
        <v>10</v>
      </c>
      <c r="C658" s="75"/>
      <c r="D658" s="76"/>
      <c r="E658" s="76"/>
      <c r="F658" s="76"/>
      <c r="G658" s="76">
        <f>G664</f>
        <v>19255.7</v>
      </c>
      <c r="H658" s="76">
        <f t="shared" ref="H658" si="822">H664</f>
        <v>19255.7</v>
      </c>
      <c r="I658" s="76">
        <f>I664</f>
        <v>10434.65</v>
      </c>
      <c r="J658" s="78">
        <f t="shared" si="798"/>
        <v>0.54</v>
      </c>
      <c r="K658" s="76">
        <f>K664</f>
        <v>8758.6</v>
      </c>
      <c r="L658" s="78">
        <f t="shared" ref="L658" si="823">K658/H658</f>
        <v>0.45</v>
      </c>
      <c r="M658" s="78">
        <f t="shared" ref="M658" si="824">K658/I658</f>
        <v>0.84</v>
      </c>
      <c r="N658" s="76">
        <f t="shared" ref="N658:O662" si="825">N664</f>
        <v>19255.7</v>
      </c>
      <c r="O658" s="76">
        <f t="shared" si="825"/>
        <v>0</v>
      </c>
      <c r="P658" s="78">
        <f t="shared" si="821"/>
        <v>1</v>
      </c>
      <c r="Q658" s="76">
        <f t="shared" si="756"/>
        <v>10497.1</v>
      </c>
      <c r="R658" s="76">
        <f t="shared" si="757"/>
        <v>1676.05</v>
      </c>
      <c r="S658" s="289"/>
    </row>
    <row r="659" spans="1:19" s="107" customFormat="1" outlineLevel="1" x14ac:dyDescent="0.25">
      <c r="A659" s="266"/>
      <c r="B659" s="226" t="s">
        <v>8</v>
      </c>
      <c r="C659" s="75"/>
      <c r="D659" s="76"/>
      <c r="E659" s="76"/>
      <c r="F659" s="76">
        <f>D659-E659</f>
        <v>0</v>
      </c>
      <c r="G659" s="76">
        <f t="shared" ref="G659:I662" si="826">G665</f>
        <v>6815.9</v>
      </c>
      <c r="H659" s="76">
        <f t="shared" si="826"/>
        <v>6815.9</v>
      </c>
      <c r="I659" s="76">
        <f>I665</f>
        <v>3932.65</v>
      </c>
      <c r="J659" s="78">
        <f t="shared" si="798"/>
        <v>0.57999999999999996</v>
      </c>
      <c r="K659" s="76">
        <f>K665</f>
        <v>3717.82</v>
      </c>
      <c r="L659" s="78">
        <f>K659/H659</f>
        <v>0.55000000000000004</v>
      </c>
      <c r="M659" s="78">
        <f>K659/I659</f>
        <v>0.95</v>
      </c>
      <c r="N659" s="76">
        <f t="shared" si="825"/>
        <v>6815.9</v>
      </c>
      <c r="O659" s="76">
        <f t="shared" si="825"/>
        <v>0</v>
      </c>
      <c r="P659" s="78">
        <f t="shared" si="821"/>
        <v>1</v>
      </c>
      <c r="Q659" s="76">
        <f t="shared" si="756"/>
        <v>3098.08</v>
      </c>
      <c r="R659" s="76">
        <f t="shared" si="757"/>
        <v>214.83</v>
      </c>
      <c r="S659" s="289"/>
    </row>
    <row r="660" spans="1:19" s="107" customFormat="1" outlineLevel="1" x14ac:dyDescent="0.25">
      <c r="A660" s="266"/>
      <c r="B660" s="226" t="s">
        <v>20</v>
      </c>
      <c r="C660" s="75"/>
      <c r="D660" s="76"/>
      <c r="E660" s="76"/>
      <c r="F660" s="76"/>
      <c r="G660" s="76">
        <f t="shared" si="826"/>
        <v>0</v>
      </c>
      <c r="H660" s="76">
        <f t="shared" si="826"/>
        <v>0</v>
      </c>
      <c r="I660" s="76">
        <f t="shared" si="826"/>
        <v>0</v>
      </c>
      <c r="J660" s="39" t="e">
        <f t="shared" si="798"/>
        <v>#DIV/0!</v>
      </c>
      <c r="K660" s="37">
        <f t="shared" ref="K660:K662" si="827">K666</f>
        <v>0</v>
      </c>
      <c r="L660" s="39" t="e">
        <f t="shared" ref="L660:L662" si="828">K660/H660</f>
        <v>#DIV/0!</v>
      </c>
      <c r="M660" s="39" t="e">
        <f t="shared" ref="M660:M662" si="829">K660/I660</f>
        <v>#DIV/0!</v>
      </c>
      <c r="N660" s="76">
        <f t="shared" si="825"/>
        <v>0</v>
      </c>
      <c r="O660" s="76">
        <f t="shared" si="825"/>
        <v>0</v>
      </c>
      <c r="P660" s="39" t="e">
        <f t="shared" si="821"/>
        <v>#DIV/0!</v>
      </c>
      <c r="Q660" s="76">
        <f t="shared" si="756"/>
        <v>0</v>
      </c>
      <c r="R660" s="76">
        <f t="shared" si="757"/>
        <v>0</v>
      </c>
      <c r="S660" s="289"/>
    </row>
    <row r="661" spans="1:19" s="107" customFormat="1" outlineLevel="1" x14ac:dyDescent="0.25">
      <c r="A661" s="266"/>
      <c r="B661" s="163" t="s">
        <v>22</v>
      </c>
      <c r="C661" s="80"/>
      <c r="D661" s="81"/>
      <c r="E661" s="81"/>
      <c r="F661" s="81"/>
      <c r="G661" s="76">
        <f t="shared" si="826"/>
        <v>0</v>
      </c>
      <c r="H661" s="76">
        <f t="shared" si="826"/>
        <v>0</v>
      </c>
      <c r="I661" s="76">
        <f t="shared" si="826"/>
        <v>0</v>
      </c>
      <c r="J661" s="39" t="e">
        <f t="shared" si="798"/>
        <v>#DIV/0!</v>
      </c>
      <c r="K661" s="37">
        <f t="shared" si="827"/>
        <v>0</v>
      </c>
      <c r="L661" s="39" t="e">
        <f t="shared" si="828"/>
        <v>#DIV/0!</v>
      </c>
      <c r="M661" s="39" t="e">
        <f t="shared" si="829"/>
        <v>#DIV/0!</v>
      </c>
      <c r="N661" s="76">
        <f t="shared" si="825"/>
        <v>0</v>
      </c>
      <c r="O661" s="76">
        <f t="shared" si="825"/>
        <v>0</v>
      </c>
      <c r="P661" s="39" t="e">
        <f t="shared" si="821"/>
        <v>#DIV/0!</v>
      </c>
      <c r="Q661" s="76">
        <f t="shared" si="756"/>
        <v>0</v>
      </c>
      <c r="R661" s="76">
        <f t="shared" si="757"/>
        <v>0</v>
      </c>
      <c r="S661" s="289"/>
    </row>
    <row r="662" spans="1:19" s="107" customFormat="1" outlineLevel="1" collapsed="1" x14ac:dyDescent="0.25">
      <c r="A662" s="267"/>
      <c r="B662" s="226" t="s">
        <v>11</v>
      </c>
      <c r="C662" s="75"/>
      <c r="D662" s="76"/>
      <c r="E662" s="76"/>
      <c r="F662" s="76"/>
      <c r="G662" s="76">
        <f t="shared" si="826"/>
        <v>0</v>
      </c>
      <c r="H662" s="76">
        <f t="shared" si="826"/>
        <v>0</v>
      </c>
      <c r="I662" s="76">
        <f t="shared" si="826"/>
        <v>0</v>
      </c>
      <c r="J662" s="39" t="e">
        <f t="shared" si="798"/>
        <v>#DIV/0!</v>
      </c>
      <c r="K662" s="37">
        <f t="shared" si="827"/>
        <v>0</v>
      </c>
      <c r="L662" s="39" t="e">
        <f t="shared" si="828"/>
        <v>#DIV/0!</v>
      </c>
      <c r="M662" s="39" t="e">
        <f t="shared" si="829"/>
        <v>#DIV/0!</v>
      </c>
      <c r="N662" s="76">
        <f t="shared" si="825"/>
        <v>0</v>
      </c>
      <c r="O662" s="76">
        <f t="shared" si="825"/>
        <v>0</v>
      </c>
      <c r="P662" s="39" t="e">
        <f t="shared" si="821"/>
        <v>#DIV/0!</v>
      </c>
      <c r="Q662" s="76">
        <f t="shared" si="756"/>
        <v>0</v>
      </c>
      <c r="R662" s="76">
        <f t="shared" si="757"/>
        <v>0</v>
      </c>
      <c r="S662" s="290"/>
    </row>
    <row r="663" spans="1:19" s="245" customFormat="1" ht="186" x14ac:dyDescent="0.25">
      <c r="A663" s="256" t="s">
        <v>469</v>
      </c>
      <c r="B663" s="69" t="s">
        <v>237</v>
      </c>
      <c r="C663" s="69" t="s">
        <v>17</v>
      </c>
      <c r="D663" s="70">
        <f t="shared" ref="D663:I663" si="830">SUM(D664:D668)</f>
        <v>0</v>
      </c>
      <c r="E663" s="70">
        <f t="shared" si="830"/>
        <v>0</v>
      </c>
      <c r="F663" s="70">
        <f t="shared" si="830"/>
        <v>0</v>
      </c>
      <c r="G663" s="70">
        <f t="shared" si="830"/>
        <v>26071.599999999999</v>
      </c>
      <c r="H663" s="70">
        <f t="shared" si="830"/>
        <v>26071.599999999999</v>
      </c>
      <c r="I663" s="70">
        <f t="shared" si="830"/>
        <v>14367.3</v>
      </c>
      <c r="J663" s="73">
        <f>I663/H663</f>
        <v>0.55000000000000004</v>
      </c>
      <c r="K663" s="70">
        <f>SUM(K664:K668)</f>
        <v>12476.42</v>
      </c>
      <c r="L663" s="73">
        <f>K663/H663</f>
        <v>0.48</v>
      </c>
      <c r="M663" s="73">
        <f>K663/I663</f>
        <v>0.87</v>
      </c>
      <c r="N663" s="70">
        <f>SUM(N664:N668)</f>
        <v>26071.599999999999</v>
      </c>
      <c r="O663" s="70">
        <f t="shared" ref="O663:O668" si="831">H663-N663</f>
        <v>0</v>
      </c>
      <c r="P663" s="73">
        <f t="shared" si="821"/>
        <v>1</v>
      </c>
      <c r="Q663" s="70">
        <f t="shared" si="756"/>
        <v>13595.18</v>
      </c>
      <c r="R663" s="70">
        <f t="shared" si="757"/>
        <v>1890.88</v>
      </c>
      <c r="S663" s="401" t="s">
        <v>508</v>
      </c>
    </row>
    <row r="664" spans="1:19" s="107" customFormat="1" x14ac:dyDescent="0.25">
      <c r="A664" s="266"/>
      <c r="B664" s="226" t="s">
        <v>10</v>
      </c>
      <c r="C664" s="75"/>
      <c r="D664" s="76"/>
      <c r="E664" s="76"/>
      <c r="F664" s="79"/>
      <c r="G664" s="76">
        <v>19255.7</v>
      </c>
      <c r="H664" s="76">
        <v>19255.7</v>
      </c>
      <c r="I664" s="76">
        <v>10434.65</v>
      </c>
      <c r="J664" s="78">
        <f t="shared" ref="J664" si="832">I664/H664</f>
        <v>0.54</v>
      </c>
      <c r="K664" s="76">
        <v>8758.6</v>
      </c>
      <c r="L664" s="78">
        <f t="shared" ref="L664:L668" si="833">K664/H664</f>
        <v>0.45</v>
      </c>
      <c r="M664" s="78">
        <f t="shared" ref="M664" si="834">K664/I664</f>
        <v>0.84</v>
      </c>
      <c r="N664" s="76">
        <f>H664</f>
        <v>19255.7</v>
      </c>
      <c r="O664" s="76">
        <f t="shared" si="831"/>
        <v>0</v>
      </c>
      <c r="P664" s="78">
        <f t="shared" si="821"/>
        <v>1</v>
      </c>
      <c r="Q664" s="76">
        <f t="shared" si="756"/>
        <v>10497.1</v>
      </c>
      <c r="R664" s="76">
        <f t="shared" si="757"/>
        <v>1676.05</v>
      </c>
      <c r="S664" s="401"/>
    </row>
    <row r="665" spans="1:19" s="107" customFormat="1" x14ac:dyDescent="0.25">
      <c r="A665" s="266"/>
      <c r="B665" s="226" t="s">
        <v>8</v>
      </c>
      <c r="C665" s="75"/>
      <c r="D665" s="76"/>
      <c r="E665" s="76"/>
      <c r="F665" s="76">
        <f>D665-E665</f>
        <v>0</v>
      </c>
      <c r="G665" s="76">
        <v>6815.9</v>
      </c>
      <c r="H665" s="76">
        <v>6815.9</v>
      </c>
      <c r="I665" s="76">
        <v>3932.65</v>
      </c>
      <c r="J665" s="78">
        <f>I665/H665</f>
        <v>0.57999999999999996</v>
      </c>
      <c r="K665" s="76">
        <v>3717.82</v>
      </c>
      <c r="L665" s="78">
        <f t="shared" si="833"/>
        <v>0.55000000000000004</v>
      </c>
      <c r="M665" s="78">
        <f>K665/I665</f>
        <v>0.95</v>
      </c>
      <c r="N665" s="76">
        <f>H665</f>
        <v>6815.9</v>
      </c>
      <c r="O665" s="76">
        <f t="shared" si="831"/>
        <v>0</v>
      </c>
      <c r="P665" s="78">
        <f t="shared" si="821"/>
        <v>1</v>
      </c>
      <c r="Q665" s="76">
        <f t="shared" si="756"/>
        <v>3098.08</v>
      </c>
      <c r="R665" s="76">
        <f t="shared" si="757"/>
        <v>214.83</v>
      </c>
      <c r="S665" s="401"/>
    </row>
    <row r="666" spans="1:19" s="107" customFormat="1" x14ac:dyDescent="0.25">
      <c r="A666" s="266"/>
      <c r="B666" s="226" t="s">
        <v>20</v>
      </c>
      <c r="C666" s="75"/>
      <c r="D666" s="76"/>
      <c r="E666" s="76"/>
      <c r="F666" s="76"/>
      <c r="G666" s="76"/>
      <c r="H666" s="76"/>
      <c r="I666" s="76"/>
      <c r="J666" s="39" t="e">
        <f>I666/H666</f>
        <v>#DIV/0!</v>
      </c>
      <c r="K666" s="37"/>
      <c r="L666" s="39" t="e">
        <f t="shared" si="833"/>
        <v>#DIV/0!</v>
      </c>
      <c r="M666" s="39" t="e">
        <f>K666/I666</f>
        <v>#DIV/0!</v>
      </c>
      <c r="N666" s="37">
        <f>H666</f>
        <v>0</v>
      </c>
      <c r="O666" s="37">
        <f t="shared" si="831"/>
        <v>0</v>
      </c>
      <c r="P666" s="39" t="e">
        <f t="shared" si="821"/>
        <v>#DIV/0!</v>
      </c>
      <c r="Q666" s="76">
        <f t="shared" si="756"/>
        <v>0</v>
      </c>
      <c r="R666" s="76">
        <f t="shared" si="757"/>
        <v>0</v>
      </c>
      <c r="S666" s="401"/>
    </row>
    <row r="667" spans="1:19" s="107" customFormat="1" x14ac:dyDescent="0.25">
      <c r="A667" s="266"/>
      <c r="B667" s="163" t="s">
        <v>22</v>
      </c>
      <c r="C667" s="80"/>
      <c r="D667" s="81"/>
      <c r="E667" s="81"/>
      <c r="F667" s="82"/>
      <c r="G667" s="81"/>
      <c r="H667" s="82"/>
      <c r="I667" s="81"/>
      <c r="J667" s="39" t="e">
        <f t="shared" ref="J667:J668" si="835">I667/H667</f>
        <v>#DIV/0!</v>
      </c>
      <c r="K667" s="41"/>
      <c r="L667" s="39" t="e">
        <f t="shared" si="833"/>
        <v>#DIV/0!</v>
      </c>
      <c r="M667" s="39" t="e">
        <f t="shared" ref="M667:M668" si="836">K667/I667</f>
        <v>#DIV/0!</v>
      </c>
      <c r="N667" s="41"/>
      <c r="O667" s="332">
        <f t="shared" si="831"/>
        <v>0</v>
      </c>
      <c r="P667" s="39" t="e">
        <f t="shared" si="821"/>
        <v>#DIV/0!</v>
      </c>
      <c r="Q667" s="81">
        <f t="shared" si="756"/>
        <v>0</v>
      </c>
      <c r="R667" s="82">
        <f t="shared" si="757"/>
        <v>0</v>
      </c>
      <c r="S667" s="401"/>
    </row>
    <row r="668" spans="1:19" s="107" customFormat="1" ht="45.75" customHeight="1" collapsed="1" x14ac:dyDescent="0.25">
      <c r="A668" s="267"/>
      <c r="B668" s="226" t="s">
        <v>11</v>
      </c>
      <c r="C668" s="75"/>
      <c r="D668" s="76"/>
      <c r="E668" s="76"/>
      <c r="F668" s="79"/>
      <c r="G668" s="76"/>
      <c r="H668" s="79"/>
      <c r="I668" s="76"/>
      <c r="J668" s="39" t="e">
        <f t="shared" si="835"/>
        <v>#DIV/0!</v>
      </c>
      <c r="K668" s="37"/>
      <c r="L668" s="39" t="e">
        <f t="shared" si="833"/>
        <v>#DIV/0!</v>
      </c>
      <c r="M668" s="39" t="e">
        <f t="shared" si="836"/>
        <v>#DIV/0!</v>
      </c>
      <c r="N668" s="37"/>
      <c r="O668" s="60">
        <f t="shared" si="831"/>
        <v>0</v>
      </c>
      <c r="P668" s="39" t="e">
        <f t="shared" si="821"/>
        <v>#DIV/0!</v>
      </c>
      <c r="Q668" s="76">
        <f t="shared" si="756"/>
        <v>0</v>
      </c>
      <c r="R668" s="79">
        <f t="shared" si="757"/>
        <v>0</v>
      </c>
      <c r="S668" s="401"/>
    </row>
    <row r="669" spans="1:19" s="243" customFormat="1" ht="135" x14ac:dyDescent="0.25">
      <c r="A669" s="137" t="s">
        <v>42</v>
      </c>
      <c r="B669" s="138" t="s">
        <v>313</v>
      </c>
      <c r="C669" s="138" t="s">
        <v>9</v>
      </c>
      <c r="D669" s="139"/>
      <c r="E669" s="139"/>
      <c r="F669" s="139"/>
      <c r="G669" s="348"/>
      <c r="H669" s="348"/>
      <c r="I669" s="348"/>
      <c r="J669" s="350"/>
      <c r="K669" s="348"/>
      <c r="L669" s="351"/>
      <c r="M669" s="351"/>
      <c r="N669" s="351"/>
      <c r="O669" s="351"/>
      <c r="P669" s="351"/>
      <c r="Q669" s="126"/>
      <c r="R669" s="126"/>
      <c r="S669" s="372" t="s">
        <v>60</v>
      </c>
    </row>
    <row r="670" spans="1:19" s="231" customFormat="1" x14ac:dyDescent="0.25">
      <c r="A670" s="143"/>
      <c r="B670" s="144" t="s">
        <v>10</v>
      </c>
      <c r="C670" s="145"/>
      <c r="D670" s="139"/>
      <c r="E670" s="139"/>
      <c r="F670" s="139"/>
      <c r="G670" s="348"/>
      <c r="H670" s="348"/>
      <c r="I670" s="348"/>
      <c r="J670" s="360"/>
      <c r="K670" s="348"/>
      <c r="L670" s="361"/>
      <c r="M670" s="361"/>
      <c r="N670" s="361"/>
      <c r="O670" s="361"/>
      <c r="P670" s="361"/>
      <c r="Q670" s="130"/>
      <c r="R670" s="130"/>
      <c r="S670" s="373"/>
    </row>
    <row r="671" spans="1:19" s="231" customFormat="1" x14ac:dyDescent="0.25">
      <c r="A671" s="217"/>
      <c r="B671" s="177" t="s">
        <v>8</v>
      </c>
      <c r="C671" s="178"/>
      <c r="D671" s="259"/>
      <c r="E671" s="259"/>
      <c r="F671" s="259"/>
      <c r="G671" s="352"/>
      <c r="H671" s="352"/>
      <c r="I671" s="348"/>
      <c r="J671" s="360"/>
      <c r="K671" s="348"/>
      <c r="L671" s="361"/>
      <c r="M671" s="361"/>
      <c r="N671" s="361"/>
      <c r="O671" s="361"/>
      <c r="P671" s="361"/>
      <c r="Q671" s="130"/>
      <c r="R671" s="130"/>
      <c r="S671" s="373"/>
    </row>
    <row r="672" spans="1:19" s="231" customFormat="1" x14ac:dyDescent="0.25">
      <c r="A672" s="217"/>
      <c r="B672" s="144" t="s">
        <v>19</v>
      </c>
      <c r="C672" s="145"/>
      <c r="D672" s="139"/>
      <c r="E672" s="139"/>
      <c r="F672" s="139"/>
      <c r="G672" s="352"/>
      <c r="H672" s="352"/>
      <c r="I672" s="348"/>
      <c r="J672" s="350"/>
      <c r="K672" s="348"/>
      <c r="L672" s="361"/>
      <c r="M672" s="361"/>
      <c r="N672" s="361"/>
      <c r="O672" s="361"/>
      <c r="P672" s="361"/>
      <c r="Q672" s="130"/>
      <c r="R672" s="130"/>
      <c r="S672" s="373"/>
    </row>
    <row r="673" spans="1:19" s="231" customFormat="1" x14ac:dyDescent="0.25">
      <c r="A673" s="217"/>
      <c r="B673" s="144" t="s">
        <v>22</v>
      </c>
      <c r="C673" s="145"/>
      <c r="D673" s="146"/>
      <c r="E673" s="146"/>
      <c r="F673" s="146"/>
      <c r="G673" s="348"/>
      <c r="H673" s="348"/>
      <c r="I673" s="348"/>
      <c r="J673" s="360"/>
      <c r="K673" s="348"/>
      <c r="L673" s="361"/>
      <c r="M673" s="361"/>
      <c r="N673" s="361"/>
      <c r="O673" s="361"/>
      <c r="P673" s="361"/>
      <c r="Q673" s="130"/>
      <c r="R673" s="130"/>
      <c r="S673" s="373"/>
    </row>
    <row r="674" spans="1:19" s="231" customFormat="1" collapsed="1" x14ac:dyDescent="0.25">
      <c r="A674" s="220"/>
      <c r="B674" s="144" t="s">
        <v>11</v>
      </c>
      <c r="C674" s="145"/>
      <c r="D674" s="146"/>
      <c r="E674" s="146"/>
      <c r="F674" s="146"/>
      <c r="G674" s="348"/>
      <c r="H674" s="348"/>
      <c r="I674" s="348"/>
      <c r="J674" s="350"/>
      <c r="K674" s="348"/>
      <c r="L674" s="361"/>
      <c r="M674" s="361"/>
      <c r="N674" s="361"/>
      <c r="O674" s="361"/>
      <c r="P674" s="361"/>
      <c r="Q674" s="135"/>
      <c r="R674" s="135"/>
      <c r="S674" s="374"/>
    </row>
    <row r="675" spans="1:19" s="292" customFormat="1" ht="112.5" x14ac:dyDescent="0.25">
      <c r="A675" s="137" t="s">
        <v>43</v>
      </c>
      <c r="B675" s="138" t="s">
        <v>314</v>
      </c>
      <c r="C675" s="138" t="s">
        <v>9</v>
      </c>
      <c r="D675" s="139"/>
      <c r="E675" s="139"/>
      <c r="F675" s="139"/>
      <c r="G675" s="348"/>
      <c r="H675" s="348"/>
      <c r="I675" s="348"/>
      <c r="J675" s="350"/>
      <c r="K675" s="348"/>
      <c r="L675" s="351"/>
      <c r="M675" s="351"/>
      <c r="N675" s="351"/>
      <c r="O675" s="351"/>
      <c r="P675" s="351"/>
      <c r="Q675" s="126"/>
      <c r="R675" s="126"/>
      <c r="S675" s="372" t="s">
        <v>60</v>
      </c>
    </row>
    <row r="676" spans="1:19" s="231" customFormat="1" ht="30.75" customHeight="1" x14ac:dyDescent="0.25">
      <c r="A676" s="143"/>
      <c r="B676" s="144" t="s">
        <v>10</v>
      </c>
      <c r="C676" s="145"/>
      <c r="D676" s="139"/>
      <c r="E676" s="139"/>
      <c r="F676" s="139"/>
      <c r="G676" s="348"/>
      <c r="H676" s="348"/>
      <c r="I676" s="348"/>
      <c r="J676" s="360"/>
      <c r="K676" s="348"/>
      <c r="L676" s="361"/>
      <c r="M676" s="361"/>
      <c r="N676" s="361"/>
      <c r="O676" s="361"/>
      <c r="P676" s="361"/>
      <c r="Q676" s="130"/>
      <c r="R676" s="130"/>
      <c r="S676" s="373"/>
    </row>
    <row r="677" spans="1:19" s="231" customFormat="1" ht="30.75" customHeight="1" x14ac:dyDescent="0.25">
      <c r="A677" s="217"/>
      <c r="B677" s="177" t="s">
        <v>8</v>
      </c>
      <c r="C677" s="178"/>
      <c r="D677" s="259"/>
      <c r="E677" s="259"/>
      <c r="F677" s="259"/>
      <c r="G677" s="348"/>
      <c r="H677" s="348"/>
      <c r="I677" s="348"/>
      <c r="J677" s="360"/>
      <c r="K677" s="348"/>
      <c r="L677" s="361"/>
      <c r="M677" s="361"/>
      <c r="N677" s="361"/>
      <c r="O677" s="361"/>
      <c r="P677" s="361"/>
      <c r="Q677" s="130"/>
      <c r="R677" s="130"/>
      <c r="S677" s="373"/>
    </row>
    <row r="678" spans="1:19" s="231" customFormat="1" ht="30.75" customHeight="1" x14ac:dyDescent="0.25">
      <c r="A678" s="217"/>
      <c r="B678" s="144" t="s">
        <v>19</v>
      </c>
      <c r="C678" s="145"/>
      <c r="D678" s="139"/>
      <c r="E678" s="139"/>
      <c r="F678" s="139"/>
      <c r="G678" s="348"/>
      <c r="H678" s="348"/>
      <c r="I678" s="348"/>
      <c r="J678" s="350"/>
      <c r="K678" s="348"/>
      <c r="L678" s="361"/>
      <c r="M678" s="361"/>
      <c r="N678" s="361"/>
      <c r="O678" s="361"/>
      <c r="P678" s="361"/>
      <c r="Q678" s="130"/>
      <c r="R678" s="130"/>
      <c r="S678" s="373"/>
    </row>
    <row r="679" spans="1:19" s="231" customFormat="1" ht="30.75" customHeight="1" x14ac:dyDescent="0.25">
      <c r="A679" s="217"/>
      <c r="B679" s="144" t="s">
        <v>22</v>
      </c>
      <c r="C679" s="145"/>
      <c r="D679" s="146"/>
      <c r="E679" s="146"/>
      <c r="F679" s="146"/>
      <c r="G679" s="348"/>
      <c r="H679" s="348"/>
      <c r="I679" s="348"/>
      <c r="J679" s="360"/>
      <c r="K679" s="348"/>
      <c r="L679" s="361"/>
      <c r="M679" s="361"/>
      <c r="N679" s="361"/>
      <c r="O679" s="361"/>
      <c r="P679" s="361"/>
      <c r="Q679" s="135"/>
      <c r="R679" s="135"/>
      <c r="S679" s="373"/>
    </row>
    <row r="680" spans="1:19" s="231" customFormat="1" ht="30.75" customHeight="1" collapsed="1" x14ac:dyDescent="0.25">
      <c r="A680" s="220"/>
      <c r="B680" s="177" t="s">
        <v>11</v>
      </c>
      <c r="C680" s="178"/>
      <c r="D680" s="179"/>
      <c r="E680" s="179"/>
      <c r="F680" s="179"/>
      <c r="G680" s="362"/>
      <c r="H680" s="362"/>
      <c r="I680" s="362"/>
      <c r="J680" s="360"/>
      <c r="K680" s="362"/>
      <c r="L680" s="361"/>
      <c r="M680" s="361"/>
      <c r="N680" s="361"/>
      <c r="O680" s="361"/>
      <c r="P680" s="361"/>
      <c r="Q680" s="135"/>
      <c r="R680" s="135"/>
      <c r="S680" s="374"/>
    </row>
    <row r="681" spans="1:19" s="243" customFormat="1" ht="153" customHeight="1" x14ac:dyDescent="0.25">
      <c r="A681" s="396" t="s">
        <v>44</v>
      </c>
      <c r="B681" s="138" t="s">
        <v>315</v>
      </c>
      <c r="C681" s="138" t="s">
        <v>9</v>
      </c>
      <c r="D681" s="139">
        <f>SUM(D682:D686)</f>
        <v>0</v>
      </c>
      <c r="E681" s="139">
        <f>SUM(E682:E686)</f>
        <v>0</v>
      </c>
      <c r="F681" s="139">
        <v>0</v>
      </c>
      <c r="G681" s="139">
        <f>SUM(G682:G686)</f>
        <v>142887.04999999999</v>
      </c>
      <c r="H681" s="139">
        <f>SUM(H682:H686)</f>
        <v>142887.04999999999</v>
      </c>
      <c r="I681" s="139">
        <f>SUM(I682:I686)</f>
        <v>99878.15</v>
      </c>
      <c r="J681" s="140">
        <f>I681/H681</f>
        <v>0.7</v>
      </c>
      <c r="K681" s="139">
        <f>SUM(K682:K686)</f>
        <v>45916.56</v>
      </c>
      <c r="L681" s="140">
        <f t="shared" ref="L681:L696" si="837">K681/H681</f>
        <v>0.32</v>
      </c>
      <c r="M681" s="140">
        <f t="shared" ref="M681:M692" si="838">K681/I681</f>
        <v>0.46</v>
      </c>
      <c r="N681" s="139">
        <f>SUM(N682:N686)</f>
        <v>142887.04999999999</v>
      </c>
      <c r="O681" s="139">
        <f t="shared" ref="O681:O744" si="839">H681-N681</f>
        <v>0</v>
      </c>
      <c r="P681" s="140">
        <f t="shared" ref="P681:P744" si="840">N681/H681</f>
        <v>1</v>
      </c>
      <c r="Q681" s="139">
        <f t="shared" ref="Q681:Q744" si="841">H681-K681</f>
        <v>96970.49</v>
      </c>
      <c r="R681" s="139">
        <f t="shared" ref="R681:R744" si="842">I681-K681</f>
        <v>53961.59</v>
      </c>
      <c r="S681" s="372" t="s">
        <v>388</v>
      </c>
    </row>
    <row r="682" spans="1:19" s="231" customFormat="1" ht="48" customHeight="1" x14ac:dyDescent="0.25">
      <c r="A682" s="397"/>
      <c r="B682" s="145" t="s">
        <v>10</v>
      </c>
      <c r="C682" s="145"/>
      <c r="D682" s="146"/>
      <c r="E682" s="146"/>
      <c r="F682" s="146"/>
      <c r="G682" s="352">
        <f>G688+G772</f>
        <v>0</v>
      </c>
      <c r="H682" s="352">
        <f t="shared" ref="H682:I686" si="843">H688+H772</f>
        <v>0</v>
      </c>
      <c r="I682" s="352">
        <f t="shared" si="843"/>
        <v>0</v>
      </c>
      <c r="J682" s="356" t="e">
        <f>I682/H682</f>
        <v>#DIV/0!</v>
      </c>
      <c r="K682" s="352">
        <f t="shared" ref="K682:K686" si="844">K688+K772</f>
        <v>0</v>
      </c>
      <c r="L682" s="356" t="e">
        <f t="shared" si="837"/>
        <v>#DIV/0!</v>
      </c>
      <c r="M682" s="356" t="e">
        <f t="shared" si="838"/>
        <v>#DIV/0!</v>
      </c>
      <c r="N682" s="352">
        <f t="shared" ref="N682:N686" si="845">N688+N772</f>
        <v>0</v>
      </c>
      <c r="O682" s="352">
        <f t="shared" si="839"/>
        <v>0</v>
      </c>
      <c r="P682" s="356" t="e">
        <f t="shared" si="840"/>
        <v>#DIV/0!</v>
      </c>
      <c r="Q682" s="146">
        <f t="shared" si="841"/>
        <v>0</v>
      </c>
      <c r="R682" s="146">
        <f t="shared" si="842"/>
        <v>0</v>
      </c>
      <c r="S682" s="373"/>
    </row>
    <row r="683" spans="1:19" s="231" customFormat="1" ht="48" customHeight="1" x14ac:dyDescent="0.25">
      <c r="A683" s="397"/>
      <c r="B683" s="178" t="s">
        <v>8</v>
      </c>
      <c r="C683" s="178"/>
      <c r="D683" s="179">
        <f t="shared" ref="D683:F683" si="846">D689</f>
        <v>0</v>
      </c>
      <c r="E683" s="179">
        <f t="shared" si="846"/>
        <v>0</v>
      </c>
      <c r="F683" s="179">
        <f t="shared" si="846"/>
        <v>0</v>
      </c>
      <c r="G683" s="146">
        <f t="shared" ref="G683:H686" si="847">G689+G773</f>
        <v>128460.67</v>
      </c>
      <c r="H683" s="146">
        <f t="shared" si="847"/>
        <v>128460.67</v>
      </c>
      <c r="I683" s="146">
        <f t="shared" si="843"/>
        <v>98690.95</v>
      </c>
      <c r="J683" s="218">
        <f>I683/H683</f>
        <v>0.77</v>
      </c>
      <c r="K683" s="146">
        <f t="shared" si="844"/>
        <v>44729.36</v>
      </c>
      <c r="L683" s="218">
        <f t="shared" si="837"/>
        <v>0.35</v>
      </c>
      <c r="M683" s="218">
        <f t="shared" si="838"/>
        <v>0.45</v>
      </c>
      <c r="N683" s="146">
        <f t="shared" si="845"/>
        <v>128460.67</v>
      </c>
      <c r="O683" s="146">
        <f t="shared" si="839"/>
        <v>0</v>
      </c>
      <c r="P683" s="218">
        <f t="shared" si="840"/>
        <v>1</v>
      </c>
      <c r="Q683" s="146">
        <f t="shared" si="841"/>
        <v>83731.31</v>
      </c>
      <c r="R683" s="146">
        <f t="shared" si="842"/>
        <v>53961.59</v>
      </c>
      <c r="S683" s="373"/>
    </row>
    <row r="684" spans="1:19" s="231" customFormat="1" ht="48" customHeight="1" x14ac:dyDescent="0.25">
      <c r="A684" s="397"/>
      <c r="B684" s="145" t="s">
        <v>19</v>
      </c>
      <c r="C684" s="145"/>
      <c r="D684" s="146"/>
      <c r="E684" s="146"/>
      <c r="F684" s="146"/>
      <c r="G684" s="146">
        <f t="shared" si="847"/>
        <v>10554.6</v>
      </c>
      <c r="H684" s="146">
        <f t="shared" si="847"/>
        <v>10554.6</v>
      </c>
      <c r="I684" s="146">
        <f t="shared" si="843"/>
        <v>1146.7</v>
      </c>
      <c r="J684" s="218">
        <f t="shared" ref="J684:J696" si="848">I684/H684</f>
        <v>0.11</v>
      </c>
      <c r="K684" s="146">
        <f>K690+K774</f>
        <v>1146.7</v>
      </c>
      <c r="L684" s="218">
        <f t="shared" si="837"/>
        <v>0.11</v>
      </c>
      <c r="M684" s="218">
        <f>K684/I684</f>
        <v>1</v>
      </c>
      <c r="N684" s="146">
        <f t="shared" si="845"/>
        <v>10554.6</v>
      </c>
      <c r="O684" s="146">
        <f t="shared" si="839"/>
        <v>0</v>
      </c>
      <c r="P684" s="218">
        <f t="shared" si="840"/>
        <v>1</v>
      </c>
      <c r="Q684" s="146">
        <f t="shared" si="841"/>
        <v>9407.9</v>
      </c>
      <c r="R684" s="146">
        <f t="shared" si="842"/>
        <v>0</v>
      </c>
      <c r="S684" s="373"/>
    </row>
    <row r="685" spans="1:19" s="231" customFormat="1" ht="48" customHeight="1" x14ac:dyDescent="0.25">
      <c r="A685" s="397"/>
      <c r="B685" s="145" t="s">
        <v>22</v>
      </c>
      <c r="C685" s="145"/>
      <c r="D685" s="146"/>
      <c r="E685" s="146"/>
      <c r="F685" s="146"/>
      <c r="G685" s="146">
        <f t="shared" si="847"/>
        <v>3871.78</v>
      </c>
      <c r="H685" s="146">
        <f t="shared" si="847"/>
        <v>3871.78</v>
      </c>
      <c r="I685" s="146">
        <f t="shared" si="843"/>
        <v>40.5</v>
      </c>
      <c r="J685" s="218">
        <f t="shared" si="848"/>
        <v>0.01</v>
      </c>
      <c r="K685" s="146">
        <f t="shared" si="844"/>
        <v>40.5</v>
      </c>
      <c r="L685" s="218">
        <f t="shared" si="837"/>
        <v>0.01</v>
      </c>
      <c r="M685" s="218">
        <f t="shared" si="838"/>
        <v>1</v>
      </c>
      <c r="N685" s="146">
        <f t="shared" si="845"/>
        <v>3871.78</v>
      </c>
      <c r="O685" s="146">
        <f t="shared" si="839"/>
        <v>0</v>
      </c>
      <c r="P685" s="218">
        <f t="shared" si="840"/>
        <v>1</v>
      </c>
      <c r="Q685" s="146">
        <f t="shared" si="841"/>
        <v>3831.28</v>
      </c>
      <c r="R685" s="146">
        <f t="shared" si="842"/>
        <v>0</v>
      </c>
      <c r="S685" s="373"/>
    </row>
    <row r="686" spans="1:19" s="231" customFormat="1" ht="112.5" customHeight="1" x14ac:dyDescent="0.25">
      <c r="A686" s="398"/>
      <c r="B686" s="145" t="s">
        <v>11</v>
      </c>
      <c r="C686" s="145"/>
      <c r="D686" s="146"/>
      <c r="E686" s="146"/>
      <c r="F686" s="146"/>
      <c r="G686" s="352">
        <f t="shared" si="847"/>
        <v>0</v>
      </c>
      <c r="H686" s="352">
        <f t="shared" si="847"/>
        <v>0</v>
      </c>
      <c r="I686" s="352">
        <f t="shared" si="843"/>
        <v>0</v>
      </c>
      <c r="J686" s="356" t="e">
        <f t="shared" si="848"/>
        <v>#DIV/0!</v>
      </c>
      <c r="K686" s="352">
        <f t="shared" si="844"/>
        <v>0</v>
      </c>
      <c r="L686" s="356" t="e">
        <f t="shared" si="837"/>
        <v>#DIV/0!</v>
      </c>
      <c r="M686" s="356" t="e">
        <f t="shared" si="838"/>
        <v>#DIV/0!</v>
      </c>
      <c r="N686" s="352">
        <f t="shared" si="845"/>
        <v>0</v>
      </c>
      <c r="O686" s="352">
        <f t="shared" si="839"/>
        <v>0</v>
      </c>
      <c r="P686" s="356" t="e">
        <f t="shared" si="840"/>
        <v>#DIV/0!</v>
      </c>
      <c r="Q686" s="146">
        <f t="shared" si="841"/>
        <v>0</v>
      </c>
      <c r="R686" s="146">
        <f t="shared" si="842"/>
        <v>0</v>
      </c>
      <c r="S686" s="374"/>
    </row>
    <row r="687" spans="1:19" s="239" customFormat="1" ht="63.75" customHeight="1" x14ac:dyDescent="0.25">
      <c r="A687" s="152" t="s">
        <v>149</v>
      </c>
      <c r="B687" s="293" t="s">
        <v>106</v>
      </c>
      <c r="C687" s="154" t="s">
        <v>2</v>
      </c>
      <c r="D687" s="155">
        <f t="shared" ref="D687:I687" si="849">SUM(D688:D692)</f>
        <v>0</v>
      </c>
      <c r="E687" s="155">
        <f t="shared" si="849"/>
        <v>0</v>
      </c>
      <c r="F687" s="155">
        <f t="shared" si="849"/>
        <v>0</v>
      </c>
      <c r="G687" s="155">
        <f>SUM(G688:G692)</f>
        <v>17543.7</v>
      </c>
      <c r="H687" s="155">
        <f t="shared" si="849"/>
        <v>17543.7</v>
      </c>
      <c r="I687" s="155">
        <f t="shared" si="849"/>
        <v>2001.36</v>
      </c>
      <c r="J687" s="156">
        <f t="shared" si="848"/>
        <v>0.11</v>
      </c>
      <c r="K687" s="155">
        <f t="shared" ref="K687" si="850">SUM(K688:K692)</f>
        <v>1700.56</v>
      </c>
      <c r="L687" s="182">
        <f t="shared" si="837"/>
        <v>0.1</v>
      </c>
      <c r="M687" s="182">
        <f t="shared" si="838"/>
        <v>0.85</v>
      </c>
      <c r="N687" s="155">
        <f t="shared" ref="N687" si="851">SUM(N688:N692)</f>
        <v>17543.7</v>
      </c>
      <c r="O687" s="155">
        <f t="shared" si="839"/>
        <v>0</v>
      </c>
      <c r="P687" s="182">
        <f t="shared" si="840"/>
        <v>1</v>
      </c>
      <c r="Q687" s="155">
        <f t="shared" si="841"/>
        <v>15843.14</v>
      </c>
      <c r="R687" s="155">
        <f t="shared" si="842"/>
        <v>300.8</v>
      </c>
      <c r="S687" s="372" t="s">
        <v>464</v>
      </c>
    </row>
    <row r="688" spans="1:19" s="107" customFormat="1" ht="30.75" customHeight="1" x14ac:dyDescent="0.25">
      <c r="A688" s="159"/>
      <c r="B688" s="75" t="s">
        <v>10</v>
      </c>
      <c r="C688" s="75"/>
      <c r="D688" s="76"/>
      <c r="E688" s="76"/>
      <c r="F688" s="76"/>
      <c r="G688" s="76">
        <f>+G694+G700+G706+G712</f>
        <v>0</v>
      </c>
      <c r="H688" s="76">
        <f t="shared" ref="H688:I688" si="852">+H694+H700+H706+H712</f>
        <v>0</v>
      </c>
      <c r="I688" s="76">
        <f t="shared" si="852"/>
        <v>0</v>
      </c>
      <c r="J688" s="38" t="e">
        <f t="shared" si="848"/>
        <v>#DIV/0!</v>
      </c>
      <c r="K688" s="37">
        <f t="shared" ref="K688" si="853">+K694+K700+K706+K712</f>
        <v>0</v>
      </c>
      <c r="L688" s="39" t="e">
        <f t="shared" si="837"/>
        <v>#DIV/0!</v>
      </c>
      <c r="M688" s="39" t="e">
        <f t="shared" si="838"/>
        <v>#DIV/0!</v>
      </c>
      <c r="N688" s="37">
        <f t="shared" ref="N688:N692" si="854">+N694+N700+N706+N712</f>
        <v>0</v>
      </c>
      <c r="O688" s="37">
        <f t="shared" si="839"/>
        <v>0</v>
      </c>
      <c r="P688" s="39" t="e">
        <f t="shared" si="840"/>
        <v>#DIV/0!</v>
      </c>
      <c r="Q688" s="76">
        <f t="shared" si="841"/>
        <v>0</v>
      </c>
      <c r="R688" s="76">
        <f t="shared" si="842"/>
        <v>0</v>
      </c>
      <c r="S688" s="373"/>
    </row>
    <row r="689" spans="1:19" s="107" customFormat="1" ht="30.75" customHeight="1" x14ac:dyDescent="0.25">
      <c r="A689" s="159"/>
      <c r="B689" s="75" t="s">
        <v>8</v>
      </c>
      <c r="C689" s="294"/>
      <c r="D689" s="76"/>
      <c r="E689" s="76"/>
      <c r="F689" s="76"/>
      <c r="G689" s="76">
        <f>+G695+G701+G707+G713</f>
        <v>11769.6</v>
      </c>
      <c r="H689" s="76">
        <f>+H695+H701+H707+H713</f>
        <v>11769.6</v>
      </c>
      <c r="I689" s="76">
        <f>+I695+I701+I707+I713</f>
        <v>931.36</v>
      </c>
      <c r="J689" s="77">
        <f t="shared" si="848"/>
        <v>0.08</v>
      </c>
      <c r="K689" s="76">
        <f>+K695+K701+K707+K713</f>
        <v>630.55999999999995</v>
      </c>
      <c r="L689" s="78">
        <f t="shared" si="837"/>
        <v>0.05</v>
      </c>
      <c r="M689" s="78">
        <f t="shared" si="838"/>
        <v>0.68</v>
      </c>
      <c r="N689" s="76">
        <f t="shared" si="854"/>
        <v>11769.6</v>
      </c>
      <c r="O689" s="76">
        <f t="shared" si="839"/>
        <v>0</v>
      </c>
      <c r="P689" s="78">
        <f t="shared" si="840"/>
        <v>1</v>
      </c>
      <c r="Q689" s="76">
        <f t="shared" si="841"/>
        <v>11139.04</v>
      </c>
      <c r="R689" s="76">
        <f t="shared" si="842"/>
        <v>300.8</v>
      </c>
      <c r="S689" s="373"/>
    </row>
    <row r="690" spans="1:19" s="107" customFormat="1" ht="30.75" customHeight="1" x14ac:dyDescent="0.25">
      <c r="A690" s="159"/>
      <c r="B690" s="75" t="s">
        <v>19</v>
      </c>
      <c r="C690" s="294"/>
      <c r="D690" s="76"/>
      <c r="E690" s="76"/>
      <c r="F690" s="76"/>
      <c r="G690" s="76">
        <f>+G696+G702+G708+G714</f>
        <v>5774.1</v>
      </c>
      <c r="H690" s="76">
        <f t="shared" ref="H690:I692" si="855">+H696+H702+H708+H714</f>
        <v>5774.1</v>
      </c>
      <c r="I690" s="76">
        <f t="shared" si="855"/>
        <v>1070</v>
      </c>
      <c r="J690" s="77">
        <f t="shared" si="848"/>
        <v>0.19</v>
      </c>
      <c r="K690" s="76">
        <f t="shared" ref="K690:K692" si="856">+K696+K702+K708+K714</f>
        <v>1070</v>
      </c>
      <c r="L690" s="78">
        <f t="shared" si="837"/>
        <v>0.19</v>
      </c>
      <c r="M690" s="78">
        <f t="shared" si="838"/>
        <v>1</v>
      </c>
      <c r="N690" s="76">
        <f t="shared" si="854"/>
        <v>5774.1</v>
      </c>
      <c r="O690" s="76">
        <f t="shared" si="839"/>
        <v>0</v>
      </c>
      <c r="P690" s="78">
        <f t="shared" si="840"/>
        <v>1</v>
      </c>
      <c r="Q690" s="76">
        <f t="shared" si="841"/>
        <v>4704.1000000000004</v>
      </c>
      <c r="R690" s="76">
        <f t="shared" si="842"/>
        <v>0</v>
      </c>
      <c r="S690" s="373"/>
    </row>
    <row r="691" spans="1:19" s="107" customFormat="1" ht="30.75" customHeight="1" x14ac:dyDescent="0.25">
      <c r="A691" s="159"/>
      <c r="B691" s="75" t="s">
        <v>22</v>
      </c>
      <c r="C691" s="75"/>
      <c r="D691" s="76"/>
      <c r="E691" s="76"/>
      <c r="F691" s="76"/>
      <c r="G691" s="76">
        <f>+G697+G703+G709+G715</f>
        <v>0</v>
      </c>
      <c r="H691" s="76">
        <f t="shared" si="855"/>
        <v>0</v>
      </c>
      <c r="I691" s="76">
        <f t="shared" si="855"/>
        <v>0</v>
      </c>
      <c r="J691" s="38" t="e">
        <f t="shared" si="848"/>
        <v>#DIV/0!</v>
      </c>
      <c r="K691" s="37">
        <f t="shared" si="856"/>
        <v>0</v>
      </c>
      <c r="L691" s="39" t="e">
        <f t="shared" si="837"/>
        <v>#DIV/0!</v>
      </c>
      <c r="M691" s="39" t="e">
        <f t="shared" si="838"/>
        <v>#DIV/0!</v>
      </c>
      <c r="N691" s="37">
        <f t="shared" si="854"/>
        <v>0</v>
      </c>
      <c r="O691" s="37">
        <f t="shared" si="839"/>
        <v>0</v>
      </c>
      <c r="P691" s="39" t="e">
        <f t="shared" si="840"/>
        <v>#DIV/0!</v>
      </c>
      <c r="Q691" s="76">
        <f t="shared" si="841"/>
        <v>0</v>
      </c>
      <c r="R691" s="76">
        <f t="shared" si="842"/>
        <v>0</v>
      </c>
      <c r="S691" s="373"/>
    </row>
    <row r="692" spans="1:19" s="107" customFormat="1" ht="30.75" customHeight="1" x14ac:dyDescent="0.25">
      <c r="A692" s="162"/>
      <c r="B692" s="75" t="s">
        <v>11</v>
      </c>
      <c r="C692" s="75"/>
      <c r="D692" s="76"/>
      <c r="E692" s="76"/>
      <c r="F692" s="76"/>
      <c r="G692" s="76">
        <f>+G698+G704+G710+G716</f>
        <v>0</v>
      </c>
      <c r="H692" s="76">
        <f t="shared" si="855"/>
        <v>0</v>
      </c>
      <c r="I692" s="76">
        <f t="shared" si="855"/>
        <v>0</v>
      </c>
      <c r="J692" s="38" t="e">
        <f t="shared" si="848"/>
        <v>#DIV/0!</v>
      </c>
      <c r="K692" s="37">
        <f t="shared" si="856"/>
        <v>0</v>
      </c>
      <c r="L692" s="39" t="e">
        <f t="shared" si="837"/>
        <v>#DIV/0!</v>
      </c>
      <c r="M692" s="39" t="e">
        <f t="shared" si="838"/>
        <v>#DIV/0!</v>
      </c>
      <c r="N692" s="37">
        <f t="shared" si="854"/>
        <v>0</v>
      </c>
      <c r="O692" s="37">
        <f t="shared" si="839"/>
        <v>0</v>
      </c>
      <c r="P692" s="39" t="e">
        <f t="shared" si="840"/>
        <v>#DIV/0!</v>
      </c>
      <c r="Q692" s="76">
        <f t="shared" si="841"/>
        <v>0</v>
      </c>
      <c r="R692" s="76">
        <f t="shared" si="842"/>
        <v>0</v>
      </c>
      <c r="S692" s="374"/>
    </row>
    <row r="693" spans="1:19" s="239" customFormat="1" ht="139.5" x14ac:dyDescent="0.25">
      <c r="A693" s="67" t="s">
        <v>150</v>
      </c>
      <c r="B693" s="295" t="s">
        <v>82</v>
      </c>
      <c r="C693" s="69" t="s">
        <v>17</v>
      </c>
      <c r="D693" s="70"/>
      <c r="E693" s="70"/>
      <c r="F693" s="70"/>
      <c r="G693" s="70">
        <f>SUM(G694:G698)</f>
        <v>1995.2</v>
      </c>
      <c r="H693" s="70">
        <f>SUM(H694:H698)</f>
        <v>1995.2</v>
      </c>
      <c r="I693" s="70">
        <f>SUM(I694:I698)</f>
        <v>0</v>
      </c>
      <c r="J693" s="56">
        <f t="shared" si="848"/>
        <v>0</v>
      </c>
      <c r="K693" s="330">
        <f>SUM(K694:K698)</f>
        <v>0</v>
      </c>
      <c r="L693" s="56">
        <f t="shared" si="837"/>
        <v>0</v>
      </c>
      <c r="M693" s="56" t="e">
        <f>K693/I693</f>
        <v>#DIV/0!</v>
      </c>
      <c r="N693" s="70">
        <f>SUM(N694:N698)</f>
        <v>1995.2</v>
      </c>
      <c r="O693" s="70">
        <f t="shared" si="839"/>
        <v>0</v>
      </c>
      <c r="P693" s="73">
        <f t="shared" si="840"/>
        <v>1</v>
      </c>
      <c r="Q693" s="70">
        <f t="shared" si="841"/>
        <v>1995.2</v>
      </c>
      <c r="R693" s="70">
        <f t="shared" si="842"/>
        <v>0</v>
      </c>
      <c r="S693" s="390" t="s">
        <v>386</v>
      </c>
    </row>
    <row r="694" spans="1:19" s="107" customFormat="1" ht="29.25" customHeight="1" x14ac:dyDescent="0.25">
      <c r="A694" s="167"/>
      <c r="B694" s="80" t="s">
        <v>83</v>
      </c>
      <c r="C694" s="80"/>
      <c r="D694" s="81"/>
      <c r="E694" s="81"/>
      <c r="F694" s="81"/>
      <c r="G694" s="82"/>
      <c r="H694" s="82"/>
      <c r="I694" s="82"/>
      <c r="J694" s="38" t="e">
        <f t="shared" si="848"/>
        <v>#DIV/0!</v>
      </c>
      <c r="K694" s="332"/>
      <c r="L694" s="39" t="e">
        <f t="shared" si="837"/>
        <v>#DIV/0!</v>
      </c>
      <c r="M694" s="56" t="e">
        <f t="shared" ref="M694:M698" si="857">K694/I694</f>
        <v>#DIV/0!</v>
      </c>
      <c r="N694" s="76">
        <f t="shared" ref="N694:N695" si="858">H694</f>
        <v>0</v>
      </c>
      <c r="O694" s="82">
        <f t="shared" si="839"/>
        <v>0</v>
      </c>
      <c r="P694" s="39" t="e">
        <f t="shared" si="840"/>
        <v>#DIV/0!</v>
      </c>
      <c r="Q694" s="82">
        <f t="shared" si="841"/>
        <v>0</v>
      </c>
      <c r="R694" s="82">
        <f t="shared" si="842"/>
        <v>0</v>
      </c>
      <c r="S694" s="391"/>
    </row>
    <row r="695" spans="1:19" s="107" customFormat="1" ht="29.25" customHeight="1" x14ac:dyDescent="0.25">
      <c r="A695" s="167"/>
      <c r="B695" s="75" t="s">
        <v>8</v>
      </c>
      <c r="C695" s="75"/>
      <c r="D695" s="76"/>
      <c r="E695" s="76"/>
      <c r="F695" s="76"/>
      <c r="G695" s="76">
        <v>380.2</v>
      </c>
      <c r="H695" s="76">
        <v>380.2</v>
      </c>
      <c r="I695" s="76"/>
      <c r="J695" s="38">
        <f t="shared" si="848"/>
        <v>0</v>
      </c>
      <c r="K695" s="37">
        <f>I695</f>
        <v>0</v>
      </c>
      <c r="L695" s="39">
        <f t="shared" si="837"/>
        <v>0</v>
      </c>
      <c r="M695" s="39" t="e">
        <f>K695/I695</f>
        <v>#DIV/0!</v>
      </c>
      <c r="N695" s="76">
        <f t="shared" si="858"/>
        <v>380.2</v>
      </c>
      <c r="O695" s="76">
        <f t="shared" si="839"/>
        <v>0</v>
      </c>
      <c r="P695" s="78">
        <f t="shared" si="840"/>
        <v>1</v>
      </c>
      <c r="Q695" s="76">
        <f t="shared" si="841"/>
        <v>380.2</v>
      </c>
      <c r="R695" s="76">
        <f t="shared" si="842"/>
        <v>0</v>
      </c>
      <c r="S695" s="391"/>
    </row>
    <row r="696" spans="1:19" s="107" customFormat="1" ht="29.25" customHeight="1" x14ac:dyDescent="0.25">
      <c r="A696" s="167"/>
      <c r="B696" s="75" t="s">
        <v>19</v>
      </c>
      <c r="C696" s="75"/>
      <c r="D696" s="76"/>
      <c r="E696" s="76"/>
      <c r="F696" s="76"/>
      <c r="G696" s="76">
        <v>1615</v>
      </c>
      <c r="H696" s="76">
        <v>1615</v>
      </c>
      <c r="I696" s="76"/>
      <c r="J696" s="38">
        <f t="shared" si="848"/>
        <v>0</v>
      </c>
      <c r="K696" s="37">
        <f>I696</f>
        <v>0</v>
      </c>
      <c r="L696" s="39">
        <f t="shared" si="837"/>
        <v>0</v>
      </c>
      <c r="M696" s="39" t="e">
        <f t="shared" si="857"/>
        <v>#DIV/0!</v>
      </c>
      <c r="N696" s="76">
        <f>H696</f>
        <v>1615</v>
      </c>
      <c r="O696" s="76">
        <f t="shared" si="839"/>
        <v>0</v>
      </c>
      <c r="P696" s="78">
        <f t="shared" si="840"/>
        <v>1</v>
      </c>
      <c r="Q696" s="76">
        <f t="shared" si="841"/>
        <v>1615</v>
      </c>
      <c r="R696" s="76">
        <f t="shared" si="842"/>
        <v>0</v>
      </c>
      <c r="S696" s="391"/>
    </row>
    <row r="697" spans="1:19" s="107" customFormat="1" ht="29.25" customHeight="1" x14ac:dyDescent="0.25">
      <c r="A697" s="167"/>
      <c r="B697" s="75" t="s">
        <v>22</v>
      </c>
      <c r="C697" s="75"/>
      <c r="D697" s="76"/>
      <c r="E697" s="76"/>
      <c r="F697" s="76"/>
      <c r="G697" s="76"/>
      <c r="H697" s="76"/>
      <c r="I697" s="76"/>
      <c r="J697" s="38" t="e">
        <f>I697/H697</f>
        <v>#DIV/0!</v>
      </c>
      <c r="K697" s="37"/>
      <c r="L697" s="39" t="e">
        <f>K697/H697</f>
        <v>#DIV/0!</v>
      </c>
      <c r="M697" s="56" t="e">
        <f t="shared" si="857"/>
        <v>#DIV/0!</v>
      </c>
      <c r="N697" s="76">
        <f>H697</f>
        <v>0</v>
      </c>
      <c r="O697" s="76">
        <f t="shared" si="839"/>
        <v>0</v>
      </c>
      <c r="P697" s="39" t="e">
        <f t="shared" si="840"/>
        <v>#DIV/0!</v>
      </c>
      <c r="Q697" s="76">
        <f t="shared" si="841"/>
        <v>0</v>
      </c>
      <c r="R697" s="76">
        <f t="shared" si="842"/>
        <v>0</v>
      </c>
      <c r="S697" s="391"/>
    </row>
    <row r="698" spans="1:19" s="107" customFormat="1" ht="29.25" customHeight="1" x14ac:dyDescent="0.25">
      <c r="A698" s="168"/>
      <c r="B698" s="75" t="s">
        <v>11</v>
      </c>
      <c r="C698" s="75"/>
      <c r="D698" s="76"/>
      <c r="E698" s="76"/>
      <c r="F698" s="76"/>
      <c r="G698" s="79"/>
      <c r="H698" s="79"/>
      <c r="I698" s="79"/>
      <c r="J698" s="38"/>
      <c r="K698" s="60"/>
      <c r="L698" s="39"/>
      <c r="M698" s="56" t="e">
        <f t="shared" si="857"/>
        <v>#DIV/0!</v>
      </c>
      <c r="N698" s="76"/>
      <c r="O698" s="79">
        <f t="shared" si="839"/>
        <v>0</v>
      </c>
      <c r="P698" s="39" t="e">
        <f t="shared" si="840"/>
        <v>#DIV/0!</v>
      </c>
      <c r="Q698" s="79">
        <f t="shared" si="841"/>
        <v>0</v>
      </c>
      <c r="R698" s="79">
        <f t="shared" si="842"/>
        <v>0</v>
      </c>
      <c r="S698" s="392"/>
    </row>
    <row r="699" spans="1:19" s="239" customFormat="1" ht="69.75" customHeight="1" x14ac:dyDescent="0.25">
      <c r="A699" s="296" t="s">
        <v>151</v>
      </c>
      <c r="B699" s="295" t="s">
        <v>170</v>
      </c>
      <c r="C699" s="69" t="s">
        <v>17</v>
      </c>
      <c r="D699" s="70"/>
      <c r="E699" s="70"/>
      <c r="F699" s="70"/>
      <c r="G699" s="70">
        <f>SUM(G700:G704)</f>
        <v>756.1</v>
      </c>
      <c r="H699" s="70">
        <f>SUM(H700:H704)</f>
        <v>756.1</v>
      </c>
      <c r="I699" s="70">
        <f>SUM(I700:I704)</f>
        <v>0</v>
      </c>
      <c r="J699" s="56">
        <f>I699/H699</f>
        <v>0</v>
      </c>
      <c r="K699" s="330">
        <f>SUM(K700:K704)</f>
        <v>0</v>
      </c>
      <c r="L699" s="56">
        <f>K699/H699</f>
        <v>0</v>
      </c>
      <c r="M699" s="56" t="e">
        <f>K699/I699</f>
        <v>#DIV/0!</v>
      </c>
      <c r="N699" s="70">
        <f>SUM(N700:N704)</f>
        <v>756.1</v>
      </c>
      <c r="O699" s="70">
        <f t="shared" si="839"/>
        <v>0</v>
      </c>
      <c r="P699" s="73">
        <f t="shared" si="840"/>
        <v>1</v>
      </c>
      <c r="Q699" s="70">
        <f t="shared" si="841"/>
        <v>756.1</v>
      </c>
      <c r="R699" s="70">
        <f t="shared" si="842"/>
        <v>0</v>
      </c>
      <c r="S699" s="390" t="s">
        <v>387</v>
      </c>
    </row>
    <row r="700" spans="1:19" s="107" customFormat="1" ht="29.25" customHeight="1" x14ac:dyDescent="0.25">
      <c r="A700" s="297"/>
      <c r="B700" s="80" t="s">
        <v>83</v>
      </c>
      <c r="C700" s="80"/>
      <c r="D700" s="81"/>
      <c r="E700" s="81"/>
      <c r="F700" s="81"/>
      <c r="G700" s="82"/>
      <c r="H700" s="82"/>
      <c r="I700" s="82"/>
      <c r="J700" s="38" t="e">
        <f t="shared" ref="J700:J702" si="859">I700/H700</f>
        <v>#DIV/0!</v>
      </c>
      <c r="K700" s="332"/>
      <c r="L700" s="39" t="e">
        <f t="shared" ref="L700:L702" si="860">K700/H700</f>
        <v>#DIV/0!</v>
      </c>
      <c r="M700" s="38" t="e">
        <f t="shared" ref="M700:M702" si="861">K700/I700</f>
        <v>#DIV/0!</v>
      </c>
      <c r="N700" s="81"/>
      <c r="O700" s="82">
        <f t="shared" si="839"/>
        <v>0</v>
      </c>
      <c r="P700" s="39" t="e">
        <f t="shared" si="840"/>
        <v>#DIV/0!</v>
      </c>
      <c r="Q700" s="82">
        <f t="shared" si="841"/>
        <v>0</v>
      </c>
      <c r="R700" s="82">
        <f t="shared" si="842"/>
        <v>0</v>
      </c>
      <c r="S700" s="391"/>
    </row>
    <row r="701" spans="1:19" s="107" customFormat="1" ht="29.25" customHeight="1" x14ac:dyDescent="0.25">
      <c r="A701" s="297"/>
      <c r="B701" s="75" t="s">
        <v>8</v>
      </c>
      <c r="C701" s="75"/>
      <c r="D701" s="76"/>
      <c r="E701" s="76"/>
      <c r="F701" s="76"/>
      <c r="G701" s="76">
        <v>186.1</v>
      </c>
      <c r="H701" s="76">
        <v>186.1</v>
      </c>
      <c r="I701" s="76"/>
      <c r="J701" s="38">
        <f t="shared" si="859"/>
        <v>0</v>
      </c>
      <c r="K701" s="37"/>
      <c r="L701" s="39">
        <f t="shared" si="860"/>
        <v>0</v>
      </c>
      <c r="M701" s="38" t="e">
        <f t="shared" si="861"/>
        <v>#DIV/0!</v>
      </c>
      <c r="N701" s="76">
        <f>H701</f>
        <v>186.1</v>
      </c>
      <c r="O701" s="76">
        <f t="shared" si="839"/>
        <v>0</v>
      </c>
      <c r="P701" s="78">
        <f t="shared" si="840"/>
        <v>1</v>
      </c>
      <c r="Q701" s="76">
        <f t="shared" si="841"/>
        <v>186.1</v>
      </c>
      <c r="R701" s="76">
        <f t="shared" si="842"/>
        <v>0</v>
      </c>
      <c r="S701" s="391"/>
    </row>
    <row r="702" spans="1:19" s="107" customFormat="1" ht="29.25" customHeight="1" x14ac:dyDescent="0.25">
      <c r="A702" s="297"/>
      <c r="B702" s="75" t="s">
        <v>19</v>
      </c>
      <c r="C702" s="75"/>
      <c r="D702" s="76"/>
      <c r="E702" s="76"/>
      <c r="F702" s="76"/>
      <c r="G702" s="76">
        <v>570</v>
      </c>
      <c r="H702" s="76">
        <v>570</v>
      </c>
      <c r="I702" s="76"/>
      <c r="J702" s="38">
        <f t="shared" si="859"/>
        <v>0</v>
      </c>
      <c r="K702" s="37"/>
      <c r="L702" s="39">
        <f t="shared" si="860"/>
        <v>0</v>
      </c>
      <c r="M702" s="38" t="e">
        <f t="shared" si="861"/>
        <v>#DIV/0!</v>
      </c>
      <c r="N702" s="76">
        <f>H702</f>
        <v>570</v>
      </c>
      <c r="O702" s="76">
        <f t="shared" si="839"/>
        <v>0</v>
      </c>
      <c r="P702" s="78">
        <f t="shared" si="840"/>
        <v>1</v>
      </c>
      <c r="Q702" s="76">
        <f t="shared" si="841"/>
        <v>570</v>
      </c>
      <c r="R702" s="76">
        <f t="shared" si="842"/>
        <v>0</v>
      </c>
      <c r="S702" s="391"/>
    </row>
    <row r="703" spans="1:19" s="107" customFormat="1" ht="29.25" customHeight="1" x14ac:dyDescent="0.25">
      <c r="A703" s="297"/>
      <c r="B703" s="75" t="s">
        <v>22</v>
      </c>
      <c r="C703" s="75"/>
      <c r="D703" s="76"/>
      <c r="E703" s="76"/>
      <c r="F703" s="76"/>
      <c r="G703" s="76"/>
      <c r="H703" s="76"/>
      <c r="I703" s="76"/>
      <c r="J703" s="38" t="e">
        <f>I703/H703</f>
        <v>#DIV/0!</v>
      </c>
      <c r="K703" s="37"/>
      <c r="L703" s="39" t="e">
        <f>K703/H703</f>
        <v>#DIV/0!</v>
      </c>
      <c r="M703" s="38" t="e">
        <f>K703/I703</f>
        <v>#DIV/0!</v>
      </c>
      <c r="N703" s="76">
        <f>H703</f>
        <v>0</v>
      </c>
      <c r="O703" s="76">
        <f t="shared" si="839"/>
        <v>0</v>
      </c>
      <c r="P703" s="39" t="e">
        <f t="shared" si="840"/>
        <v>#DIV/0!</v>
      </c>
      <c r="Q703" s="76">
        <f t="shared" si="841"/>
        <v>0</v>
      </c>
      <c r="R703" s="76">
        <f t="shared" si="842"/>
        <v>0</v>
      </c>
      <c r="S703" s="391"/>
    </row>
    <row r="704" spans="1:19" s="107" customFormat="1" ht="29.25" customHeight="1" x14ac:dyDescent="0.25">
      <c r="A704" s="298"/>
      <c r="B704" s="75" t="s">
        <v>11</v>
      </c>
      <c r="C704" s="75"/>
      <c r="D704" s="76"/>
      <c r="E704" s="76"/>
      <c r="F704" s="76"/>
      <c r="G704" s="79"/>
      <c r="H704" s="79"/>
      <c r="I704" s="79"/>
      <c r="J704" s="38"/>
      <c r="K704" s="60"/>
      <c r="L704" s="39"/>
      <c r="M704" s="38"/>
      <c r="N704" s="76"/>
      <c r="O704" s="79">
        <f t="shared" si="839"/>
        <v>0</v>
      </c>
      <c r="P704" s="39" t="e">
        <f t="shared" si="840"/>
        <v>#DIV/0!</v>
      </c>
      <c r="Q704" s="79">
        <f t="shared" si="841"/>
        <v>0</v>
      </c>
      <c r="R704" s="79">
        <f t="shared" si="842"/>
        <v>0</v>
      </c>
      <c r="S704" s="392"/>
    </row>
    <row r="705" spans="1:19" s="265" customFormat="1" ht="46.5" customHeight="1" x14ac:dyDescent="0.25">
      <c r="A705" s="67" t="s">
        <v>152</v>
      </c>
      <c r="B705" s="295" t="s">
        <v>171</v>
      </c>
      <c r="C705" s="69" t="s">
        <v>17</v>
      </c>
      <c r="D705" s="70"/>
      <c r="E705" s="70"/>
      <c r="F705" s="70"/>
      <c r="G705" s="70">
        <f>SUM(G706:G710)</f>
        <v>801.9</v>
      </c>
      <c r="H705" s="70">
        <f>SUM(H706:H710)</f>
        <v>801.9</v>
      </c>
      <c r="I705" s="70">
        <f>SUM(I706:I710)</f>
        <v>0</v>
      </c>
      <c r="J705" s="56">
        <f>I705/H705</f>
        <v>0</v>
      </c>
      <c r="K705" s="330">
        <f>SUM(K706:K710)</f>
        <v>0</v>
      </c>
      <c r="L705" s="56">
        <f>K705/H705</f>
        <v>0</v>
      </c>
      <c r="M705" s="56" t="e">
        <f>K705/I705</f>
        <v>#DIV/0!</v>
      </c>
      <c r="N705" s="70">
        <f>SUM(N706:N710)</f>
        <v>801.9</v>
      </c>
      <c r="O705" s="70">
        <f t="shared" si="839"/>
        <v>0</v>
      </c>
      <c r="P705" s="73">
        <f t="shared" si="840"/>
        <v>1</v>
      </c>
      <c r="Q705" s="70">
        <f t="shared" si="841"/>
        <v>801.9</v>
      </c>
      <c r="R705" s="70">
        <f t="shared" si="842"/>
        <v>0</v>
      </c>
      <c r="S705" s="390" t="s">
        <v>387</v>
      </c>
    </row>
    <row r="706" spans="1:19" s="107" customFormat="1" x14ac:dyDescent="0.25">
      <c r="A706" s="167"/>
      <c r="B706" s="80" t="s">
        <v>83</v>
      </c>
      <c r="C706" s="80"/>
      <c r="D706" s="81"/>
      <c r="E706" s="81"/>
      <c r="F706" s="81"/>
      <c r="G706" s="82"/>
      <c r="H706" s="82"/>
      <c r="I706" s="82"/>
      <c r="J706" s="38" t="e">
        <f t="shared" ref="J706:J708" si="862">I706/H706</f>
        <v>#DIV/0!</v>
      </c>
      <c r="K706" s="332"/>
      <c r="L706" s="39" t="e">
        <f t="shared" ref="L706:L708" si="863">K706/H706</f>
        <v>#DIV/0!</v>
      </c>
      <c r="M706" s="38" t="e">
        <f t="shared" ref="M706:M708" si="864">K706/I706</f>
        <v>#DIV/0!</v>
      </c>
      <c r="N706" s="81"/>
      <c r="O706" s="82">
        <f t="shared" si="839"/>
        <v>0</v>
      </c>
      <c r="P706" s="39" t="e">
        <f t="shared" si="840"/>
        <v>#DIV/0!</v>
      </c>
      <c r="Q706" s="82">
        <f t="shared" si="841"/>
        <v>0</v>
      </c>
      <c r="R706" s="82">
        <f t="shared" si="842"/>
        <v>0</v>
      </c>
      <c r="S706" s="391"/>
    </row>
    <row r="707" spans="1:19" s="107" customFormat="1" x14ac:dyDescent="0.25">
      <c r="A707" s="167"/>
      <c r="B707" s="75" t="s">
        <v>8</v>
      </c>
      <c r="C707" s="75"/>
      <c r="D707" s="76"/>
      <c r="E707" s="76"/>
      <c r="F707" s="76"/>
      <c r="G707" s="76">
        <v>326.89999999999998</v>
      </c>
      <c r="H707" s="76">
        <v>326.89999999999998</v>
      </c>
      <c r="I707" s="76"/>
      <c r="J707" s="38">
        <f t="shared" si="862"/>
        <v>0</v>
      </c>
      <c r="K707" s="41">
        <f>I707</f>
        <v>0</v>
      </c>
      <c r="L707" s="39">
        <f t="shared" si="863"/>
        <v>0</v>
      </c>
      <c r="M707" s="38" t="e">
        <f t="shared" si="864"/>
        <v>#DIV/0!</v>
      </c>
      <c r="N707" s="76">
        <f>H707</f>
        <v>326.89999999999998</v>
      </c>
      <c r="O707" s="76">
        <f t="shared" si="839"/>
        <v>0</v>
      </c>
      <c r="P707" s="78">
        <f t="shared" si="840"/>
        <v>1</v>
      </c>
      <c r="Q707" s="76">
        <f t="shared" si="841"/>
        <v>326.89999999999998</v>
      </c>
      <c r="R707" s="76">
        <f t="shared" si="842"/>
        <v>0</v>
      </c>
      <c r="S707" s="391"/>
    </row>
    <row r="708" spans="1:19" s="107" customFormat="1" x14ac:dyDescent="0.25">
      <c r="A708" s="167"/>
      <c r="B708" s="75" t="s">
        <v>19</v>
      </c>
      <c r="C708" s="75"/>
      <c r="D708" s="76"/>
      <c r="E708" s="76"/>
      <c r="F708" s="76"/>
      <c r="G708" s="76">
        <v>475</v>
      </c>
      <c r="H708" s="76">
        <v>475</v>
      </c>
      <c r="I708" s="76"/>
      <c r="J708" s="38">
        <f t="shared" si="862"/>
        <v>0</v>
      </c>
      <c r="K708" s="41">
        <f>I708</f>
        <v>0</v>
      </c>
      <c r="L708" s="39">
        <f t="shared" si="863"/>
        <v>0</v>
      </c>
      <c r="M708" s="38" t="e">
        <f t="shared" si="864"/>
        <v>#DIV/0!</v>
      </c>
      <c r="N708" s="76">
        <f>H708</f>
        <v>475</v>
      </c>
      <c r="O708" s="76">
        <f t="shared" si="839"/>
        <v>0</v>
      </c>
      <c r="P708" s="78">
        <f t="shared" si="840"/>
        <v>1</v>
      </c>
      <c r="Q708" s="76">
        <f t="shared" si="841"/>
        <v>475</v>
      </c>
      <c r="R708" s="76">
        <f t="shared" si="842"/>
        <v>0</v>
      </c>
      <c r="S708" s="391"/>
    </row>
    <row r="709" spans="1:19" s="107" customFormat="1" x14ac:dyDescent="0.25">
      <c r="A709" s="167"/>
      <c r="B709" s="75" t="s">
        <v>22</v>
      </c>
      <c r="C709" s="75"/>
      <c r="D709" s="76"/>
      <c r="E709" s="76"/>
      <c r="F709" s="76"/>
      <c r="G709" s="76"/>
      <c r="H709" s="76"/>
      <c r="I709" s="76"/>
      <c r="J709" s="38" t="e">
        <f>I709/H709</f>
        <v>#DIV/0!</v>
      </c>
      <c r="K709" s="37"/>
      <c r="L709" s="39" t="e">
        <f>K709/H709</f>
        <v>#DIV/0!</v>
      </c>
      <c r="M709" s="38" t="e">
        <f>K709/I709</f>
        <v>#DIV/0!</v>
      </c>
      <c r="N709" s="76">
        <f>H709</f>
        <v>0</v>
      </c>
      <c r="O709" s="76">
        <f t="shared" si="839"/>
        <v>0</v>
      </c>
      <c r="P709" s="39" t="e">
        <f t="shared" si="840"/>
        <v>#DIV/0!</v>
      </c>
      <c r="Q709" s="76">
        <f t="shared" si="841"/>
        <v>0</v>
      </c>
      <c r="R709" s="76">
        <f t="shared" si="842"/>
        <v>0</v>
      </c>
      <c r="S709" s="391"/>
    </row>
    <row r="710" spans="1:19" s="107" customFormat="1" x14ac:dyDescent="0.25">
      <c r="A710" s="168"/>
      <c r="B710" s="75" t="s">
        <v>11</v>
      </c>
      <c r="C710" s="75"/>
      <c r="D710" s="76"/>
      <c r="E710" s="76"/>
      <c r="F710" s="76"/>
      <c r="G710" s="79"/>
      <c r="H710" s="79"/>
      <c r="I710" s="79"/>
      <c r="J710" s="77"/>
      <c r="K710" s="79"/>
      <c r="L710" s="78"/>
      <c r="M710" s="77"/>
      <c r="N710" s="76"/>
      <c r="O710" s="79">
        <f t="shared" si="839"/>
        <v>0</v>
      </c>
      <c r="P710" s="39" t="e">
        <f t="shared" si="840"/>
        <v>#DIV/0!</v>
      </c>
      <c r="Q710" s="79">
        <f t="shared" si="841"/>
        <v>0</v>
      </c>
      <c r="R710" s="79">
        <f t="shared" si="842"/>
        <v>0</v>
      </c>
      <c r="S710" s="392"/>
    </row>
    <row r="711" spans="1:19" s="265" customFormat="1" ht="44.25" customHeight="1" x14ac:dyDescent="0.25">
      <c r="A711" s="67" t="s">
        <v>153</v>
      </c>
      <c r="B711" s="295" t="s">
        <v>172</v>
      </c>
      <c r="C711" s="69" t="s">
        <v>17</v>
      </c>
      <c r="D711" s="70"/>
      <c r="E711" s="70"/>
      <c r="F711" s="70"/>
      <c r="G711" s="76">
        <f>SUM(G712:G716)</f>
        <v>13990.5</v>
      </c>
      <c r="H711" s="76">
        <f>SUM(H712:H716)</f>
        <v>13990.5</v>
      </c>
      <c r="I711" s="76">
        <f>SUM(I712:I716)</f>
        <v>2001.36</v>
      </c>
      <c r="J711" s="78">
        <f>I711/H711</f>
        <v>0.14000000000000001</v>
      </c>
      <c r="K711" s="76">
        <f>SUM(K712:K716)</f>
        <v>1700.56</v>
      </c>
      <c r="L711" s="78">
        <f>K711/H711</f>
        <v>0.12</v>
      </c>
      <c r="M711" s="78">
        <f>K711/I711</f>
        <v>0.85</v>
      </c>
      <c r="N711" s="76">
        <f>SUM(N712:N716)</f>
        <v>13990.5</v>
      </c>
      <c r="O711" s="76">
        <f t="shared" si="839"/>
        <v>0</v>
      </c>
      <c r="P711" s="78">
        <f t="shared" si="840"/>
        <v>1</v>
      </c>
      <c r="Q711" s="76">
        <f t="shared" si="841"/>
        <v>12289.94</v>
      </c>
      <c r="R711" s="76">
        <f t="shared" si="842"/>
        <v>300.8</v>
      </c>
      <c r="S711" s="372" t="s">
        <v>402</v>
      </c>
    </row>
    <row r="712" spans="1:19" s="107" customFormat="1" x14ac:dyDescent="0.25">
      <c r="A712" s="167"/>
      <c r="B712" s="80" t="s">
        <v>83</v>
      </c>
      <c r="C712" s="80"/>
      <c r="D712" s="81"/>
      <c r="E712" s="81"/>
      <c r="F712" s="81"/>
      <c r="G712" s="332">
        <f>G718+G724+G730+G736+G742+G748+G754+G760+G766</f>
        <v>0</v>
      </c>
      <c r="H712" s="332">
        <f t="shared" ref="H712:K716" si="865">H718+H724+H730+H736+H742+H748+H754+H760+H766</f>
        <v>0</v>
      </c>
      <c r="I712" s="332">
        <f t="shared" si="865"/>
        <v>0</v>
      </c>
      <c r="J712" s="38" t="e">
        <f t="shared" ref="J712:J716" si="866">I712/H712</f>
        <v>#DIV/0!</v>
      </c>
      <c r="K712" s="332">
        <f t="shared" ref="K712" si="867">K718+K724+K730+K736+K742+K748+K754+K760+K766</f>
        <v>0</v>
      </c>
      <c r="L712" s="39" t="e">
        <f t="shared" ref="L712:L716" si="868">K712/H712</f>
        <v>#DIV/0!</v>
      </c>
      <c r="M712" s="38" t="e">
        <f t="shared" ref="M712:M716" si="869">K712/I712</f>
        <v>#DIV/0!</v>
      </c>
      <c r="N712" s="41">
        <f t="shared" ref="N712:N716" si="870">N718+N724+N730+N736+N742+N748+N754+N760+N766</f>
        <v>0</v>
      </c>
      <c r="O712" s="332">
        <f t="shared" si="839"/>
        <v>0</v>
      </c>
      <c r="P712" s="39" t="e">
        <f t="shared" si="840"/>
        <v>#DIV/0!</v>
      </c>
      <c r="Q712" s="82">
        <f t="shared" si="841"/>
        <v>0</v>
      </c>
      <c r="R712" s="82">
        <f t="shared" si="842"/>
        <v>0</v>
      </c>
      <c r="S712" s="373"/>
    </row>
    <row r="713" spans="1:19" s="107" customFormat="1" x14ac:dyDescent="0.25">
      <c r="A713" s="167"/>
      <c r="B713" s="75" t="s">
        <v>8</v>
      </c>
      <c r="C713" s="75"/>
      <c r="D713" s="76"/>
      <c r="E713" s="76"/>
      <c r="F713" s="76"/>
      <c r="G713" s="76">
        <f>G719+G725+G731+G737+G743+G749+G755+G761+G767</f>
        <v>10876.4</v>
      </c>
      <c r="H713" s="76">
        <f t="shared" si="865"/>
        <v>10876.4</v>
      </c>
      <c r="I713" s="76">
        <f>I719+I725+I731+I737+I743+I749+I755+I761+I767</f>
        <v>931.36</v>
      </c>
      <c r="J713" s="78">
        <f>I713/H713</f>
        <v>0.09</v>
      </c>
      <c r="K713" s="76">
        <f>K719+K725+K731+K737+K743+K749+K755+K761+K767</f>
        <v>630.55999999999995</v>
      </c>
      <c r="L713" s="78">
        <f t="shared" si="868"/>
        <v>0.06</v>
      </c>
      <c r="M713" s="78">
        <f>K713/I713</f>
        <v>0.68</v>
      </c>
      <c r="N713" s="76">
        <f t="shared" si="870"/>
        <v>10876.4</v>
      </c>
      <c r="O713" s="76">
        <f t="shared" si="839"/>
        <v>0</v>
      </c>
      <c r="P713" s="78">
        <f t="shared" si="840"/>
        <v>1</v>
      </c>
      <c r="Q713" s="76">
        <f t="shared" si="841"/>
        <v>10245.84</v>
      </c>
      <c r="R713" s="76">
        <f t="shared" si="842"/>
        <v>300.8</v>
      </c>
      <c r="S713" s="373"/>
    </row>
    <row r="714" spans="1:19" s="107" customFormat="1" x14ac:dyDescent="0.25">
      <c r="A714" s="167"/>
      <c r="B714" s="75" t="s">
        <v>19</v>
      </c>
      <c r="C714" s="75"/>
      <c r="D714" s="76"/>
      <c r="E714" s="76"/>
      <c r="F714" s="76"/>
      <c r="G714" s="76">
        <f>G720+G726+G732+G738+G744+G750+G756+G762+G768</f>
        <v>3114.1</v>
      </c>
      <c r="H714" s="76">
        <f t="shared" si="865"/>
        <v>3114.1</v>
      </c>
      <c r="I714" s="76">
        <v>1070</v>
      </c>
      <c r="J714" s="77">
        <f t="shared" si="866"/>
        <v>0.34</v>
      </c>
      <c r="K714" s="76">
        <v>1070</v>
      </c>
      <c r="L714" s="78">
        <f t="shared" si="868"/>
        <v>0.34</v>
      </c>
      <c r="M714" s="77">
        <f t="shared" si="869"/>
        <v>1</v>
      </c>
      <c r="N714" s="76">
        <f t="shared" si="870"/>
        <v>3114.1</v>
      </c>
      <c r="O714" s="76">
        <f t="shared" si="839"/>
        <v>0</v>
      </c>
      <c r="P714" s="78">
        <f t="shared" si="840"/>
        <v>1</v>
      </c>
      <c r="Q714" s="76">
        <f t="shared" si="841"/>
        <v>2044.1</v>
      </c>
      <c r="R714" s="76">
        <f t="shared" si="842"/>
        <v>0</v>
      </c>
      <c r="S714" s="373"/>
    </row>
    <row r="715" spans="1:19" s="107" customFormat="1" x14ac:dyDescent="0.25">
      <c r="A715" s="167"/>
      <c r="B715" s="75" t="s">
        <v>22</v>
      </c>
      <c r="C715" s="75"/>
      <c r="D715" s="76"/>
      <c r="E715" s="76"/>
      <c r="F715" s="76"/>
      <c r="G715" s="76">
        <f>G721+G727+G733+G739+G745+G751+G757+G763+G769</f>
        <v>0</v>
      </c>
      <c r="H715" s="76">
        <f t="shared" si="865"/>
        <v>0</v>
      </c>
      <c r="I715" s="76">
        <f t="shared" si="865"/>
        <v>0</v>
      </c>
      <c r="J715" s="38" t="e">
        <f t="shared" si="866"/>
        <v>#DIV/0!</v>
      </c>
      <c r="K715" s="37">
        <f t="shared" si="865"/>
        <v>0</v>
      </c>
      <c r="L715" s="39" t="e">
        <f t="shared" si="868"/>
        <v>#DIV/0!</v>
      </c>
      <c r="M715" s="38" t="e">
        <f t="shared" si="869"/>
        <v>#DIV/0!</v>
      </c>
      <c r="N715" s="37">
        <f t="shared" si="870"/>
        <v>0</v>
      </c>
      <c r="O715" s="37">
        <f t="shared" si="839"/>
        <v>0</v>
      </c>
      <c r="P715" s="39" t="e">
        <f t="shared" si="840"/>
        <v>#DIV/0!</v>
      </c>
      <c r="Q715" s="76">
        <f t="shared" si="841"/>
        <v>0</v>
      </c>
      <c r="R715" s="76">
        <f t="shared" si="842"/>
        <v>0</v>
      </c>
      <c r="S715" s="373"/>
    </row>
    <row r="716" spans="1:19" s="107" customFormat="1" x14ac:dyDescent="0.25">
      <c r="A716" s="168"/>
      <c r="B716" s="75" t="s">
        <v>11</v>
      </c>
      <c r="C716" s="75"/>
      <c r="D716" s="76"/>
      <c r="E716" s="76"/>
      <c r="F716" s="76"/>
      <c r="G716" s="79">
        <f>G722+G728+G734+G740+G746+G752+G758+G764+G770</f>
        <v>0</v>
      </c>
      <c r="H716" s="79">
        <f t="shared" si="865"/>
        <v>0</v>
      </c>
      <c r="I716" s="79">
        <f t="shared" si="865"/>
        <v>0</v>
      </c>
      <c r="J716" s="38" t="e">
        <f t="shared" si="866"/>
        <v>#DIV/0!</v>
      </c>
      <c r="K716" s="60">
        <f t="shared" si="865"/>
        <v>0</v>
      </c>
      <c r="L716" s="39" t="e">
        <f t="shared" si="868"/>
        <v>#DIV/0!</v>
      </c>
      <c r="M716" s="38" t="e">
        <f t="shared" si="869"/>
        <v>#DIV/0!</v>
      </c>
      <c r="N716" s="37">
        <f t="shared" si="870"/>
        <v>0</v>
      </c>
      <c r="O716" s="60">
        <f t="shared" si="839"/>
        <v>0</v>
      </c>
      <c r="P716" s="39" t="e">
        <f t="shared" si="840"/>
        <v>#DIV/0!</v>
      </c>
      <c r="Q716" s="79">
        <f t="shared" si="841"/>
        <v>0</v>
      </c>
      <c r="R716" s="79">
        <f t="shared" si="842"/>
        <v>0</v>
      </c>
      <c r="S716" s="374"/>
    </row>
    <row r="717" spans="1:19" s="265" customFormat="1" ht="186" x14ac:dyDescent="0.25">
      <c r="A717" s="187" t="s">
        <v>154</v>
      </c>
      <c r="B717" s="240" t="s">
        <v>173</v>
      </c>
      <c r="C717" s="75" t="s">
        <v>17</v>
      </c>
      <c r="D717" s="76"/>
      <c r="E717" s="76"/>
      <c r="F717" s="76"/>
      <c r="G717" s="76">
        <f>SUM(G718:G722)</f>
        <v>296.5</v>
      </c>
      <c r="H717" s="76">
        <f>SUM(H718:H722)</f>
        <v>296.5</v>
      </c>
      <c r="I717" s="76">
        <f>SUM(I718:I722)</f>
        <v>0</v>
      </c>
      <c r="J717" s="39">
        <f>I717/H717</f>
        <v>0</v>
      </c>
      <c r="K717" s="37">
        <f>SUM(K718:K722)</f>
        <v>0</v>
      </c>
      <c r="L717" s="39">
        <f>K717/H717</f>
        <v>0</v>
      </c>
      <c r="M717" s="39" t="e">
        <f>K717/I717</f>
        <v>#DIV/0!</v>
      </c>
      <c r="N717" s="76">
        <f>SUM(N718:N722)</f>
        <v>296.5</v>
      </c>
      <c r="O717" s="76">
        <f t="shared" si="839"/>
        <v>0</v>
      </c>
      <c r="P717" s="78">
        <f t="shared" si="840"/>
        <v>1</v>
      </c>
      <c r="Q717" s="76">
        <f t="shared" si="841"/>
        <v>296.5</v>
      </c>
      <c r="R717" s="76">
        <f t="shared" si="842"/>
        <v>0</v>
      </c>
      <c r="S717" s="372" t="s">
        <v>403</v>
      </c>
    </row>
    <row r="718" spans="1:19" s="107" customFormat="1" x14ac:dyDescent="0.25">
      <c r="A718" s="74"/>
      <c r="B718" s="80" t="s">
        <v>83</v>
      </c>
      <c r="C718" s="80"/>
      <c r="D718" s="81"/>
      <c r="E718" s="81"/>
      <c r="F718" s="81"/>
      <c r="G718" s="82"/>
      <c r="H718" s="82"/>
      <c r="I718" s="82"/>
      <c r="J718" s="43" t="e">
        <f t="shared" ref="J718:J720" si="871">I718/H718</f>
        <v>#DIV/0!</v>
      </c>
      <c r="K718" s="332"/>
      <c r="L718" s="44" t="e">
        <f t="shared" ref="L718:L720" si="872">K718/H718</f>
        <v>#DIV/0!</v>
      </c>
      <c r="M718" s="43"/>
      <c r="N718" s="81"/>
      <c r="O718" s="82">
        <f t="shared" si="839"/>
        <v>0</v>
      </c>
      <c r="P718" s="44" t="e">
        <f t="shared" si="840"/>
        <v>#DIV/0!</v>
      </c>
      <c r="Q718" s="82">
        <f t="shared" si="841"/>
        <v>0</v>
      </c>
      <c r="R718" s="82">
        <f t="shared" si="842"/>
        <v>0</v>
      </c>
      <c r="S718" s="373"/>
    </row>
    <row r="719" spans="1:19" s="107" customFormat="1" x14ac:dyDescent="0.25">
      <c r="A719" s="74"/>
      <c r="B719" s="75" t="s">
        <v>8</v>
      </c>
      <c r="C719" s="75"/>
      <c r="D719" s="76"/>
      <c r="E719" s="76"/>
      <c r="F719" s="76"/>
      <c r="G719" s="76">
        <v>201.5</v>
      </c>
      <c r="H719" s="76">
        <v>201.5</v>
      </c>
      <c r="I719" s="76"/>
      <c r="J719" s="38">
        <f t="shared" si="871"/>
        <v>0</v>
      </c>
      <c r="K719" s="37"/>
      <c r="L719" s="39">
        <f t="shared" si="872"/>
        <v>0</v>
      </c>
      <c r="M719" s="38" t="e">
        <f t="shared" ref="M719:M720" si="873">K719/I719</f>
        <v>#DIV/0!</v>
      </c>
      <c r="N719" s="76">
        <f>H719</f>
        <v>201.5</v>
      </c>
      <c r="O719" s="76">
        <f t="shared" si="839"/>
        <v>0</v>
      </c>
      <c r="P719" s="78">
        <f t="shared" si="840"/>
        <v>1</v>
      </c>
      <c r="Q719" s="76">
        <f t="shared" si="841"/>
        <v>201.5</v>
      </c>
      <c r="R719" s="76">
        <f t="shared" si="842"/>
        <v>0</v>
      </c>
      <c r="S719" s="373"/>
    </row>
    <row r="720" spans="1:19" s="107" customFormat="1" x14ac:dyDescent="0.25">
      <c r="A720" s="74"/>
      <c r="B720" s="75" t="s">
        <v>19</v>
      </c>
      <c r="C720" s="75"/>
      <c r="D720" s="76"/>
      <c r="E720" s="76"/>
      <c r="F720" s="76"/>
      <c r="G720" s="76">
        <v>95</v>
      </c>
      <c r="H720" s="76">
        <v>95</v>
      </c>
      <c r="I720" s="76"/>
      <c r="J720" s="38">
        <f t="shared" si="871"/>
        <v>0</v>
      </c>
      <c r="K720" s="37"/>
      <c r="L720" s="39">
        <f t="shared" si="872"/>
        <v>0</v>
      </c>
      <c r="M720" s="38" t="e">
        <f t="shared" si="873"/>
        <v>#DIV/0!</v>
      </c>
      <c r="N720" s="76">
        <f>H720</f>
        <v>95</v>
      </c>
      <c r="O720" s="76">
        <f t="shared" si="839"/>
        <v>0</v>
      </c>
      <c r="P720" s="78">
        <f t="shared" si="840"/>
        <v>1</v>
      </c>
      <c r="Q720" s="76">
        <f t="shared" si="841"/>
        <v>95</v>
      </c>
      <c r="R720" s="76">
        <f t="shared" si="842"/>
        <v>0</v>
      </c>
      <c r="S720" s="373"/>
    </row>
    <row r="721" spans="1:19" s="107" customFormat="1" x14ac:dyDescent="0.25">
      <c r="A721" s="74"/>
      <c r="B721" s="75" t="s">
        <v>22</v>
      </c>
      <c r="C721" s="75"/>
      <c r="D721" s="76"/>
      <c r="E721" s="76"/>
      <c r="F721" s="76"/>
      <c r="G721" s="76"/>
      <c r="H721" s="76"/>
      <c r="I721" s="76"/>
      <c r="J721" s="38" t="e">
        <f>I721/H721</f>
        <v>#DIV/0!</v>
      </c>
      <c r="K721" s="37"/>
      <c r="L721" s="39" t="e">
        <f>K721/H721</f>
        <v>#DIV/0!</v>
      </c>
      <c r="M721" s="38" t="e">
        <f>K721/I721</f>
        <v>#DIV/0!</v>
      </c>
      <c r="N721" s="76">
        <f>H721</f>
        <v>0</v>
      </c>
      <c r="O721" s="76">
        <f t="shared" si="839"/>
        <v>0</v>
      </c>
      <c r="P721" s="39" t="e">
        <f t="shared" si="840"/>
        <v>#DIV/0!</v>
      </c>
      <c r="Q721" s="76">
        <f t="shared" si="841"/>
        <v>0</v>
      </c>
      <c r="R721" s="76">
        <f t="shared" si="842"/>
        <v>0</v>
      </c>
      <c r="S721" s="373"/>
    </row>
    <row r="722" spans="1:19" s="107" customFormat="1" x14ac:dyDescent="0.25">
      <c r="A722" s="188"/>
      <c r="B722" s="75" t="s">
        <v>11</v>
      </c>
      <c r="C722" s="75"/>
      <c r="D722" s="76"/>
      <c r="E722" s="76"/>
      <c r="F722" s="76"/>
      <c r="G722" s="79"/>
      <c r="H722" s="79"/>
      <c r="I722" s="79"/>
      <c r="J722" s="77"/>
      <c r="K722" s="79"/>
      <c r="L722" s="78"/>
      <c r="M722" s="77"/>
      <c r="N722" s="76"/>
      <c r="O722" s="79">
        <f t="shared" si="839"/>
        <v>0</v>
      </c>
      <c r="P722" s="39" t="e">
        <f t="shared" si="840"/>
        <v>#DIV/0!</v>
      </c>
      <c r="Q722" s="79">
        <f t="shared" si="841"/>
        <v>0</v>
      </c>
      <c r="R722" s="79">
        <f t="shared" si="842"/>
        <v>0</v>
      </c>
      <c r="S722" s="374"/>
    </row>
    <row r="723" spans="1:19" s="265" customFormat="1" ht="139.5" x14ac:dyDescent="0.25">
      <c r="A723" s="187" t="s">
        <v>155</v>
      </c>
      <c r="B723" s="240" t="s">
        <v>247</v>
      </c>
      <c r="C723" s="75" t="s">
        <v>17</v>
      </c>
      <c r="D723" s="76"/>
      <c r="E723" s="76"/>
      <c r="F723" s="76"/>
      <c r="G723" s="76">
        <f>SUM(G724:G728)</f>
        <v>980.5</v>
      </c>
      <c r="H723" s="76">
        <f>SUM(H724:H728)</f>
        <v>980.5</v>
      </c>
      <c r="I723" s="76">
        <f>SUM(I724:I728)</f>
        <v>300.56</v>
      </c>
      <c r="J723" s="78">
        <f>I723/H723</f>
        <v>0.31</v>
      </c>
      <c r="K723" s="76">
        <f>SUM(K724:K728)</f>
        <v>300.56</v>
      </c>
      <c r="L723" s="78">
        <f>K723/H723</f>
        <v>0.31</v>
      </c>
      <c r="M723" s="78">
        <f>K723/I723</f>
        <v>1</v>
      </c>
      <c r="N723" s="76">
        <f>SUM(N724:N728)</f>
        <v>980.5</v>
      </c>
      <c r="O723" s="76">
        <f t="shared" si="839"/>
        <v>0</v>
      </c>
      <c r="P723" s="78">
        <f t="shared" si="840"/>
        <v>1</v>
      </c>
      <c r="Q723" s="76">
        <f t="shared" si="841"/>
        <v>679.94</v>
      </c>
      <c r="R723" s="76">
        <f t="shared" si="842"/>
        <v>0</v>
      </c>
      <c r="S723" s="372" t="s">
        <v>463</v>
      </c>
    </row>
    <row r="724" spans="1:19" s="107" customFormat="1" x14ac:dyDescent="0.25">
      <c r="A724" s="74"/>
      <c r="B724" s="80" t="s">
        <v>83</v>
      </c>
      <c r="C724" s="80"/>
      <c r="D724" s="81"/>
      <c r="E724" s="81"/>
      <c r="F724" s="81"/>
      <c r="G724" s="82"/>
      <c r="H724" s="82"/>
      <c r="I724" s="82"/>
      <c r="J724" s="38" t="e">
        <f t="shared" ref="J724:J726" si="874">I724/H724</f>
        <v>#DIV/0!</v>
      </c>
      <c r="K724" s="332"/>
      <c r="L724" s="39" t="e">
        <f t="shared" ref="L724:L726" si="875">K724/H724</f>
        <v>#DIV/0!</v>
      </c>
      <c r="M724" s="38" t="e">
        <f t="shared" ref="M724:M726" si="876">K724/I724</f>
        <v>#DIV/0!</v>
      </c>
      <c r="N724" s="41"/>
      <c r="O724" s="332">
        <f t="shared" si="839"/>
        <v>0</v>
      </c>
      <c r="P724" s="39" t="e">
        <f t="shared" si="840"/>
        <v>#DIV/0!</v>
      </c>
      <c r="Q724" s="82">
        <f t="shared" si="841"/>
        <v>0</v>
      </c>
      <c r="R724" s="82">
        <f t="shared" si="842"/>
        <v>0</v>
      </c>
      <c r="S724" s="373"/>
    </row>
    <row r="725" spans="1:19" s="107" customFormat="1" x14ac:dyDescent="0.25">
      <c r="A725" s="74"/>
      <c r="B725" s="75" t="s">
        <v>8</v>
      </c>
      <c r="C725" s="75"/>
      <c r="D725" s="76"/>
      <c r="E725" s="76"/>
      <c r="F725" s="76"/>
      <c r="G725" s="76">
        <v>695.5</v>
      </c>
      <c r="H725" s="76">
        <v>695.5</v>
      </c>
      <c r="I725" s="76">
        <v>15.56</v>
      </c>
      <c r="J725" s="77">
        <f>I725/H725</f>
        <v>0.02</v>
      </c>
      <c r="K725" s="76">
        <f>I725</f>
        <v>15.56</v>
      </c>
      <c r="L725" s="78">
        <f>K725/H725</f>
        <v>0.02</v>
      </c>
      <c r="M725" s="78">
        <f>K725/I725</f>
        <v>1</v>
      </c>
      <c r="N725" s="76">
        <f>H725</f>
        <v>695.5</v>
      </c>
      <c r="O725" s="76">
        <f t="shared" si="839"/>
        <v>0</v>
      </c>
      <c r="P725" s="78">
        <f t="shared" si="840"/>
        <v>1</v>
      </c>
      <c r="Q725" s="76">
        <f t="shared" si="841"/>
        <v>679.94</v>
      </c>
      <c r="R725" s="76">
        <f t="shared" si="842"/>
        <v>0</v>
      </c>
      <c r="S725" s="373"/>
    </row>
    <row r="726" spans="1:19" s="107" customFormat="1" x14ac:dyDescent="0.25">
      <c r="A726" s="74"/>
      <c r="B726" s="75" t="s">
        <v>19</v>
      </c>
      <c r="C726" s="75"/>
      <c r="D726" s="76"/>
      <c r="E726" s="76"/>
      <c r="F726" s="76"/>
      <c r="G726" s="76">
        <v>285</v>
      </c>
      <c r="H726" s="76">
        <v>285</v>
      </c>
      <c r="I726" s="76">
        <v>285</v>
      </c>
      <c r="J726" s="77">
        <f t="shared" si="874"/>
        <v>1</v>
      </c>
      <c r="K726" s="76">
        <v>285</v>
      </c>
      <c r="L726" s="78">
        <f t="shared" si="875"/>
        <v>1</v>
      </c>
      <c r="M726" s="77">
        <f t="shared" si="876"/>
        <v>1</v>
      </c>
      <c r="N726" s="76">
        <f>H726</f>
        <v>285</v>
      </c>
      <c r="O726" s="76">
        <f t="shared" si="839"/>
        <v>0</v>
      </c>
      <c r="P726" s="78">
        <f t="shared" si="840"/>
        <v>1</v>
      </c>
      <c r="Q726" s="76">
        <f t="shared" si="841"/>
        <v>0</v>
      </c>
      <c r="R726" s="76">
        <f t="shared" si="842"/>
        <v>0</v>
      </c>
      <c r="S726" s="373"/>
    </row>
    <row r="727" spans="1:19" s="107" customFormat="1" x14ac:dyDescent="0.25">
      <c r="A727" s="74"/>
      <c r="B727" s="75" t="s">
        <v>22</v>
      </c>
      <c r="C727" s="75"/>
      <c r="D727" s="76"/>
      <c r="E727" s="76"/>
      <c r="F727" s="76"/>
      <c r="G727" s="76"/>
      <c r="H727" s="76"/>
      <c r="I727" s="76"/>
      <c r="J727" s="38" t="e">
        <f>I727/H727</f>
        <v>#DIV/0!</v>
      </c>
      <c r="K727" s="37"/>
      <c r="L727" s="39" t="e">
        <f>K727/H727</f>
        <v>#DIV/0!</v>
      </c>
      <c r="M727" s="38" t="e">
        <f>K727/I727</f>
        <v>#DIV/0!</v>
      </c>
      <c r="N727" s="37">
        <f>H727</f>
        <v>0</v>
      </c>
      <c r="O727" s="37">
        <f t="shared" si="839"/>
        <v>0</v>
      </c>
      <c r="P727" s="39" t="e">
        <f t="shared" si="840"/>
        <v>#DIV/0!</v>
      </c>
      <c r="Q727" s="76">
        <f t="shared" si="841"/>
        <v>0</v>
      </c>
      <c r="R727" s="76">
        <f t="shared" si="842"/>
        <v>0</v>
      </c>
      <c r="S727" s="373"/>
    </row>
    <row r="728" spans="1:19" s="107" customFormat="1" x14ac:dyDescent="0.25">
      <c r="A728" s="188"/>
      <c r="B728" s="75" t="s">
        <v>11</v>
      </c>
      <c r="C728" s="75"/>
      <c r="D728" s="76"/>
      <c r="E728" s="76"/>
      <c r="F728" s="76"/>
      <c r="G728" s="79"/>
      <c r="H728" s="79"/>
      <c r="I728" s="79"/>
      <c r="J728" s="38"/>
      <c r="K728" s="60"/>
      <c r="L728" s="39"/>
      <c r="M728" s="38"/>
      <c r="N728" s="37"/>
      <c r="O728" s="60">
        <f t="shared" si="839"/>
        <v>0</v>
      </c>
      <c r="P728" s="39" t="e">
        <f t="shared" si="840"/>
        <v>#DIV/0!</v>
      </c>
      <c r="Q728" s="79">
        <f t="shared" si="841"/>
        <v>0</v>
      </c>
      <c r="R728" s="79">
        <f t="shared" si="842"/>
        <v>0</v>
      </c>
      <c r="S728" s="374"/>
    </row>
    <row r="729" spans="1:19" s="265" customFormat="1" ht="93" x14ac:dyDescent="0.25">
      <c r="A729" s="187" t="s">
        <v>156</v>
      </c>
      <c r="B729" s="240" t="s">
        <v>238</v>
      </c>
      <c r="C729" s="75" t="s">
        <v>17</v>
      </c>
      <c r="D729" s="76"/>
      <c r="E729" s="76"/>
      <c r="F729" s="76"/>
      <c r="G729" s="76">
        <f>SUM(G730:G734)</f>
        <v>86.1</v>
      </c>
      <c r="H729" s="76">
        <f>SUM(H730:H734)</f>
        <v>86.1</v>
      </c>
      <c r="I729" s="76">
        <f>SUM(I730:I734)</f>
        <v>0</v>
      </c>
      <c r="J729" s="39">
        <f>I729/H729</f>
        <v>0</v>
      </c>
      <c r="K729" s="37">
        <f>SUM(K730:K734)</f>
        <v>0</v>
      </c>
      <c r="L729" s="39">
        <f>K729/H729</f>
        <v>0</v>
      </c>
      <c r="M729" s="39" t="e">
        <f>K729/I729</f>
        <v>#DIV/0!</v>
      </c>
      <c r="N729" s="76">
        <f>SUM(N730:N734)</f>
        <v>86.1</v>
      </c>
      <c r="O729" s="76">
        <f t="shared" si="839"/>
        <v>0</v>
      </c>
      <c r="P729" s="78">
        <f t="shared" si="840"/>
        <v>1</v>
      </c>
      <c r="Q729" s="76">
        <f t="shared" si="841"/>
        <v>86.1</v>
      </c>
      <c r="R729" s="76">
        <f t="shared" si="842"/>
        <v>0</v>
      </c>
      <c r="S729" s="89" t="s">
        <v>404</v>
      </c>
    </row>
    <row r="730" spans="1:19" s="107" customFormat="1" x14ac:dyDescent="0.25">
      <c r="A730" s="74"/>
      <c r="B730" s="80" t="s">
        <v>83</v>
      </c>
      <c r="C730" s="80"/>
      <c r="D730" s="81"/>
      <c r="E730" s="81"/>
      <c r="F730" s="81"/>
      <c r="G730" s="82"/>
      <c r="H730" s="82"/>
      <c r="I730" s="82"/>
      <c r="J730" s="38" t="e">
        <f t="shared" ref="J730:J732" si="877">I730/H730</f>
        <v>#DIV/0!</v>
      </c>
      <c r="K730" s="332"/>
      <c r="L730" s="39" t="e">
        <f t="shared" ref="L730:L732" si="878">K730/H730</f>
        <v>#DIV/0!</v>
      </c>
      <c r="M730" s="38" t="e">
        <f t="shared" ref="M730:M732" si="879">K730/I730</f>
        <v>#DIV/0!</v>
      </c>
      <c r="N730" s="81"/>
      <c r="O730" s="82">
        <f t="shared" si="839"/>
        <v>0</v>
      </c>
      <c r="P730" s="39" t="e">
        <f t="shared" si="840"/>
        <v>#DIV/0!</v>
      </c>
      <c r="Q730" s="82">
        <f t="shared" si="841"/>
        <v>0</v>
      </c>
      <c r="R730" s="82">
        <f t="shared" si="842"/>
        <v>0</v>
      </c>
      <c r="S730" s="90"/>
    </row>
    <row r="731" spans="1:19" s="107" customFormat="1" x14ac:dyDescent="0.25">
      <c r="A731" s="74"/>
      <c r="B731" s="75" t="s">
        <v>8</v>
      </c>
      <c r="C731" s="75"/>
      <c r="D731" s="76"/>
      <c r="E731" s="76"/>
      <c r="F731" s="76"/>
      <c r="G731" s="76">
        <v>76.599999999999994</v>
      </c>
      <c r="H731" s="76">
        <v>76.599999999999994</v>
      </c>
      <c r="I731" s="76"/>
      <c r="J731" s="38">
        <f t="shared" si="877"/>
        <v>0</v>
      </c>
      <c r="K731" s="37"/>
      <c r="L731" s="39">
        <f t="shared" si="878"/>
        <v>0</v>
      </c>
      <c r="M731" s="38" t="e">
        <f t="shared" si="879"/>
        <v>#DIV/0!</v>
      </c>
      <c r="N731" s="76">
        <f>H731</f>
        <v>76.599999999999994</v>
      </c>
      <c r="O731" s="76">
        <f t="shared" si="839"/>
        <v>0</v>
      </c>
      <c r="P731" s="78">
        <f t="shared" si="840"/>
        <v>1</v>
      </c>
      <c r="Q731" s="76">
        <f t="shared" si="841"/>
        <v>76.599999999999994</v>
      </c>
      <c r="R731" s="76">
        <f t="shared" si="842"/>
        <v>0</v>
      </c>
      <c r="S731" s="90"/>
    </row>
    <row r="732" spans="1:19" s="107" customFormat="1" x14ac:dyDescent="0.25">
      <c r="A732" s="74"/>
      <c r="B732" s="75" t="s">
        <v>19</v>
      </c>
      <c r="C732" s="75"/>
      <c r="D732" s="76"/>
      <c r="E732" s="76"/>
      <c r="F732" s="76"/>
      <c r="G732" s="76">
        <v>9.5</v>
      </c>
      <c r="H732" s="76">
        <v>9.5</v>
      </c>
      <c r="I732" s="76"/>
      <c r="J732" s="38">
        <f t="shared" si="877"/>
        <v>0</v>
      </c>
      <c r="K732" s="37"/>
      <c r="L732" s="39">
        <f t="shared" si="878"/>
        <v>0</v>
      </c>
      <c r="M732" s="38" t="e">
        <f t="shared" si="879"/>
        <v>#DIV/0!</v>
      </c>
      <c r="N732" s="76">
        <f>H732</f>
        <v>9.5</v>
      </c>
      <c r="O732" s="76">
        <f t="shared" si="839"/>
        <v>0</v>
      </c>
      <c r="P732" s="78">
        <f t="shared" si="840"/>
        <v>1</v>
      </c>
      <c r="Q732" s="76">
        <f t="shared" si="841"/>
        <v>9.5</v>
      </c>
      <c r="R732" s="76">
        <f t="shared" si="842"/>
        <v>0</v>
      </c>
      <c r="S732" s="90"/>
    </row>
    <row r="733" spans="1:19" s="107" customFormat="1" x14ac:dyDescent="0.25">
      <c r="A733" s="74"/>
      <c r="B733" s="75" t="s">
        <v>22</v>
      </c>
      <c r="C733" s="75"/>
      <c r="D733" s="76"/>
      <c r="E733" s="76"/>
      <c r="F733" s="76"/>
      <c r="G733" s="76"/>
      <c r="H733" s="76"/>
      <c r="I733" s="76"/>
      <c r="J733" s="38" t="e">
        <f>I733/H733</f>
        <v>#DIV/0!</v>
      </c>
      <c r="K733" s="37"/>
      <c r="L733" s="39" t="e">
        <f>K733/H733</f>
        <v>#DIV/0!</v>
      </c>
      <c r="M733" s="38" t="e">
        <f>K733/I733</f>
        <v>#DIV/0!</v>
      </c>
      <c r="N733" s="76">
        <f>H733</f>
        <v>0</v>
      </c>
      <c r="O733" s="76">
        <f t="shared" si="839"/>
        <v>0</v>
      </c>
      <c r="P733" s="39" t="e">
        <f t="shared" si="840"/>
        <v>#DIV/0!</v>
      </c>
      <c r="Q733" s="76">
        <f t="shared" si="841"/>
        <v>0</v>
      </c>
      <c r="R733" s="76">
        <f t="shared" si="842"/>
        <v>0</v>
      </c>
      <c r="S733" s="90"/>
    </row>
    <row r="734" spans="1:19" s="107" customFormat="1" x14ac:dyDescent="0.25">
      <c r="A734" s="188"/>
      <c r="B734" s="75" t="s">
        <v>11</v>
      </c>
      <c r="C734" s="75"/>
      <c r="D734" s="76"/>
      <c r="E734" s="76"/>
      <c r="F734" s="76"/>
      <c r="G734" s="79"/>
      <c r="H734" s="79"/>
      <c r="I734" s="79"/>
      <c r="J734" s="77"/>
      <c r="K734" s="79"/>
      <c r="L734" s="78"/>
      <c r="M734" s="77"/>
      <c r="N734" s="76"/>
      <c r="O734" s="79">
        <f t="shared" si="839"/>
        <v>0</v>
      </c>
      <c r="P734" s="39" t="e">
        <f t="shared" si="840"/>
        <v>#DIV/0!</v>
      </c>
      <c r="Q734" s="79">
        <f t="shared" si="841"/>
        <v>0</v>
      </c>
      <c r="R734" s="79">
        <f t="shared" si="842"/>
        <v>0</v>
      </c>
      <c r="S734" s="85"/>
    </row>
    <row r="735" spans="1:19" s="265" customFormat="1" ht="69.75" customHeight="1" x14ac:dyDescent="0.25">
      <c r="A735" s="187" t="s">
        <v>157</v>
      </c>
      <c r="B735" s="240" t="s">
        <v>174</v>
      </c>
      <c r="C735" s="75" t="s">
        <v>17</v>
      </c>
      <c r="D735" s="76"/>
      <c r="E735" s="76"/>
      <c r="F735" s="76"/>
      <c r="G735" s="76">
        <f>SUM(G736:G740)</f>
        <v>1200.8</v>
      </c>
      <c r="H735" s="76">
        <f>SUM(H736:H740)</f>
        <v>1200.8</v>
      </c>
      <c r="I735" s="76">
        <f>SUM(I736:I740)</f>
        <v>1079.6199999999999</v>
      </c>
      <c r="J735" s="78">
        <f>I735/H735</f>
        <v>0.9</v>
      </c>
      <c r="K735" s="76">
        <f>SUM(K736:K740)</f>
        <v>778.82</v>
      </c>
      <c r="L735" s="78">
        <f>K735/H735</f>
        <v>0.65</v>
      </c>
      <c r="M735" s="78">
        <f>K735/I735</f>
        <v>0.72</v>
      </c>
      <c r="N735" s="76">
        <f>SUM(N736:N740)</f>
        <v>1200.8</v>
      </c>
      <c r="O735" s="76">
        <f t="shared" si="839"/>
        <v>0</v>
      </c>
      <c r="P735" s="78">
        <f t="shared" si="840"/>
        <v>1</v>
      </c>
      <c r="Q735" s="76">
        <f t="shared" si="841"/>
        <v>421.98</v>
      </c>
      <c r="R735" s="76">
        <f t="shared" si="842"/>
        <v>300.8</v>
      </c>
      <c r="S735" s="372" t="s">
        <v>462</v>
      </c>
    </row>
    <row r="736" spans="1:19" s="107" customFormat="1" x14ac:dyDescent="0.25">
      <c r="A736" s="74"/>
      <c r="B736" s="80" t="s">
        <v>83</v>
      </c>
      <c r="C736" s="80"/>
      <c r="D736" s="81"/>
      <c r="E736" s="81"/>
      <c r="F736" s="81"/>
      <c r="G736" s="82"/>
      <c r="H736" s="82"/>
      <c r="I736" s="82"/>
      <c r="J736" s="38" t="e">
        <f t="shared" ref="J736:J738" si="880">I736/H736</f>
        <v>#DIV/0!</v>
      </c>
      <c r="K736" s="332"/>
      <c r="L736" s="39" t="e">
        <f t="shared" ref="L736:L738" si="881">K736/H736</f>
        <v>#DIV/0!</v>
      </c>
      <c r="M736" s="38" t="e">
        <f t="shared" ref="M736:M738" si="882">K736/I736</f>
        <v>#DIV/0!</v>
      </c>
      <c r="N736" s="41"/>
      <c r="O736" s="332">
        <f t="shared" si="839"/>
        <v>0</v>
      </c>
      <c r="P736" s="39" t="e">
        <f t="shared" si="840"/>
        <v>#DIV/0!</v>
      </c>
      <c r="Q736" s="82">
        <f t="shared" si="841"/>
        <v>0</v>
      </c>
      <c r="R736" s="82">
        <f t="shared" si="842"/>
        <v>0</v>
      </c>
      <c r="S736" s="373"/>
    </row>
    <row r="737" spans="1:19" s="107" customFormat="1" x14ac:dyDescent="0.25">
      <c r="A737" s="74"/>
      <c r="B737" s="75" t="s">
        <v>8</v>
      </c>
      <c r="C737" s="75"/>
      <c r="D737" s="76"/>
      <c r="E737" s="76"/>
      <c r="F737" s="76"/>
      <c r="G737" s="76">
        <v>915.8</v>
      </c>
      <c r="H737" s="76">
        <v>915.8</v>
      </c>
      <c r="I737" s="76">
        <v>915.8</v>
      </c>
      <c r="J737" s="77">
        <f>I737/H737</f>
        <v>1</v>
      </c>
      <c r="K737" s="76">
        <v>615</v>
      </c>
      <c r="L737" s="78">
        <f>K737/H737</f>
        <v>0.67</v>
      </c>
      <c r="M737" s="78">
        <f>K737/I737</f>
        <v>0.67</v>
      </c>
      <c r="N737" s="76">
        <f>H737</f>
        <v>915.8</v>
      </c>
      <c r="O737" s="76">
        <f t="shared" si="839"/>
        <v>0</v>
      </c>
      <c r="P737" s="78">
        <f t="shared" si="840"/>
        <v>1</v>
      </c>
      <c r="Q737" s="76">
        <f t="shared" si="841"/>
        <v>300.8</v>
      </c>
      <c r="R737" s="76">
        <f t="shared" si="842"/>
        <v>300.8</v>
      </c>
      <c r="S737" s="373"/>
    </row>
    <row r="738" spans="1:19" s="107" customFormat="1" x14ac:dyDescent="0.25">
      <c r="A738" s="74"/>
      <c r="B738" s="75" t="s">
        <v>19</v>
      </c>
      <c r="C738" s="75"/>
      <c r="D738" s="76"/>
      <c r="E738" s="76"/>
      <c r="F738" s="76"/>
      <c r="G738" s="76">
        <v>285</v>
      </c>
      <c r="H738" s="76">
        <v>285</v>
      </c>
      <c r="I738" s="76">
        <v>163.82</v>
      </c>
      <c r="J738" s="77">
        <f t="shared" si="880"/>
        <v>0.56999999999999995</v>
      </c>
      <c r="K738" s="76">
        <f>I738</f>
        <v>163.82</v>
      </c>
      <c r="L738" s="78">
        <f t="shared" si="881"/>
        <v>0.56999999999999995</v>
      </c>
      <c r="M738" s="77">
        <f t="shared" si="882"/>
        <v>1</v>
      </c>
      <c r="N738" s="76">
        <f>H738</f>
        <v>285</v>
      </c>
      <c r="O738" s="76">
        <f t="shared" si="839"/>
        <v>0</v>
      </c>
      <c r="P738" s="78">
        <f t="shared" si="840"/>
        <v>1</v>
      </c>
      <c r="Q738" s="76">
        <f t="shared" si="841"/>
        <v>121.18</v>
      </c>
      <c r="R738" s="76">
        <f t="shared" si="842"/>
        <v>0</v>
      </c>
      <c r="S738" s="373"/>
    </row>
    <row r="739" spans="1:19" s="107" customFormat="1" ht="36.75" customHeight="1" x14ac:dyDescent="0.25">
      <c r="A739" s="74"/>
      <c r="B739" s="75" t="s">
        <v>22</v>
      </c>
      <c r="C739" s="75"/>
      <c r="D739" s="76"/>
      <c r="E739" s="76"/>
      <c r="F739" s="76"/>
      <c r="G739" s="76"/>
      <c r="H739" s="76"/>
      <c r="I739" s="76"/>
      <c r="J739" s="38" t="e">
        <f>I739/H739</f>
        <v>#DIV/0!</v>
      </c>
      <c r="K739" s="37"/>
      <c r="L739" s="39" t="e">
        <f>K739/H739</f>
        <v>#DIV/0!</v>
      </c>
      <c r="M739" s="38" t="e">
        <f>K739/I739</f>
        <v>#DIV/0!</v>
      </c>
      <c r="N739" s="37">
        <f>H739</f>
        <v>0</v>
      </c>
      <c r="O739" s="37">
        <f t="shared" si="839"/>
        <v>0</v>
      </c>
      <c r="P739" s="39" t="e">
        <f t="shared" si="840"/>
        <v>#DIV/0!</v>
      </c>
      <c r="Q739" s="76">
        <f t="shared" si="841"/>
        <v>0</v>
      </c>
      <c r="R739" s="76">
        <f t="shared" si="842"/>
        <v>0</v>
      </c>
      <c r="S739" s="373"/>
    </row>
    <row r="740" spans="1:19" s="107" customFormat="1" x14ac:dyDescent="0.25">
      <c r="A740" s="188"/>
      <c r="B740" s="80" t="s">
        <v>11</v>
      </c>
      <c r="C740" s="80"/>
      <c r="D740" s="81"/>
      <c r="E740" s="81"/>
      <c r="F740" s="81"/>
      <c r="G740" s="82"/>
      <c r="H740" s="82"/>
      <c r="I740" s="82"/>
      <c r="J740" s="43"/>
      <c r="K740" s="332"/>
      <c r="L740" s="44"/>
      <c r="M740" s="43"/>
      <c r="N740" s="41"/>
      <c r="O740" s="332">
        <f t="shared" si="839"/>
        <v>0</v>
      </c>
      <c r="P740" s="44" t="e">
        <f t="shared" si="840"/>
        <v>#DIV/0!</v>
      </c>
      <c r="Q740" s="82">
        <f t="shared" si="841"/>
        <v>0</v>
      </c>
      <c r="R740" s="82">
        <f t="shared" si="842"/>
        <v>0</v>
      </c>
      <c r="S740" s="85"/>
    </row>
    <row r="741" spans="1:19" s="265" customFormat="1" ht="186" x14ac:dyDescent="0.25">
      <c r="A741" s="187" t="s">
        <v>158</v>
      </c>
      <c r="B741" s="240" t="s">
        <v>239</v>
      </c>
      <c r="C741" s="75" t="s">
        <v>17</v>
      </c>
      <c r="D741" s="76"/>
      <c r="E741" s="76"/>
      <c r="F741" s="76"/>
      <c r="G741" s="76">
        <f>SUM(G742:G746)</f>
        <v>2141.6999999999998</v>
      </c>
      <c r="H741" s="76">
        <f>SUM(H742:H746)</f>
        <v>2141.6999999999998</v>
      </c>
      <c r="I741" s="76">
        <f>SUM(I742:I746)</f>
        <v>0</v>
      </c>
      <c r="J741" s="39">
        <f>I741/H741</f>
        <v>0</v>
      </c>
      <c r="K741" s="37">
        <f>SUM(K742:K746)</f>
        <v>0</v>
      </c>
      <c r="L741" s="39">
        <f>K741/H741</f>
        <v>0</v>
      </c>
      <c r="M741" s="39" t="e">
        <f>K741/I741</f>
        <v>#DIV/0!</v>
      </c>
      <c r="N741" s="76">
        <f>SUM(N742:N746)</f>
        <v>2141.6999999999998</v>
      </c>
      <c r="O741" s="76">
        <f t="shared" si="839"/>
        <v>0</v>
      </c>
      <c r="P741" s="78">
        <f t="shared" si="840"/>
        <v>1</v>
      </c>
      <c r="Q741" s="76">
        <f t="shared" si="841"/>
        <v>2141.6999999999998</v>
      </c>
      <c r="R741" s="76">
        <f t="shared" si="842"/>
        <v>0</v>
      </c>
      <c r="S741" s="89" t="s">
        <v>405</v>
      </c>
    </row>
    <row r="742" spans="1:19" s="107" customFormat="1" ht="29.25" customHeight="1" x14ac:dyDescent="0.25">
      <c r="A742" s="74"/>
      <c r="B742" s="80" t="s">
        <v>83</v>
      </c>
      <c r="C742" s="80"/>
      <c r="D742" s="81"/>
      <c r="E742" s="81"/>
      <c r="F742" s="81"/>
      <c r="G742" s="82"/>
      <c r="H742" s="82"/>
      <c r="I742" s="82"/>
      <c r="J742" s="38" t="e">
        <f t="shared" ref="J742:J744" si="883">I742/H742</f>
        <v>#DIV/0!</v>
      </c>
      <c r="K742" s="332"/>
      <c r="L742" s="39" t="e">
        <f t="shared" ref="L742:L744" si="884">K742/H742</f>
        <v>#DIV/0!</v>
      </c>
      <c r="M742" s="38" t="e">
        <f t="shared" ref="M742:M744" si="885">K742/I742</f>
        <v>#DIV/0!</v>
      </c>
      <c r="N742" s="81"/>
      <c r="O742" s="82">
        <f t="shared" si="839"/>
        <v>0</v>
      </c>
      <c r="P742" s="39" t="e">
        <f t="shared" si="840"/>
        <v>#DIV/0!</v>
      </c>
      <c r="Q742" s="82">
        <f t="shared" si="841"/>
        <v>0</v>
      </c>
      <c r="R742" s="82">
        <f t="shared" si="842"/>
        <v>0</v>
      </c>
      <c r="S742" s="90"/>
    </row>
    <row r="743" spans="1:19" s="107" customFormat="1" ht="29.25" customHeight="1" x14ac:dyDescent="0.25">
      <c r="A743" s="74"/>
      <c r="B743" s="75" t="s">
        <v>8</v>
      </c>
      <c r="C743" s="75"/>
      <c r="D743" s="76"/>
      <c r="E743" s="76"/>
      <c r="F743" s="76"/>
      <c r="G743" s="76">
        <v>1856.7</v>
      </c>
      <c r="H743" s="76">
        <v>1856.7</v>
      </c>
      <c r="I743" s="76"/>
      <c r="J743" s="38">
        <f t="shared" si="883"/>
        <v>0</v>
      </c>
      <c r="K743" s="37"/>
      <c r="L743" s="39">
        <f t="shared" si="884"/>
        <v>0</v>
      </c>
      <c r="M743" s="38" t="e">
        <f t="shared" si="885"/>
        <v>#DIV/0!</v>
      </c>
      <c r="N743" s="76">
        <f>H743</f>
        <v>1856.7</v>
      </c>
      <c r="O743" s="76">
        <f t="shared" si="839"/>
        <v>0</v>
      </c>
      <c r="P743" s="78">
        <f t="shared" si="840"/>
        <v>1</v>
      </c>
      <c r="Q743" s="76">
        <f t="shared" si="841"/>
        <v>1856.7</v>
      </c>
      <c r="R743" s="76">
        <f t="shared" si="842"/>
        <v>0</v>
      </c>
      <c r="S743" s="90"/>
    </row>
    <row r="744" spans="1:19" s="107" customFormat="1" ht="29.25" customHeight="1" x14ac:dyDescent="0.25">
      <c r="A744" s="74"/>
      <c r="B744" s="75" t="s">
        <v>19</v>
      </c>
      <c r="C744" s="75"/>
      <c r="D744" s="76"/>
      <c r="E744" s="76"/>
      <c r="F744" s="76"/>
      <c r="G744" s="76">
        <v>285</v>
      </c>
      <c r="H744" s="76">
        <v>285</v>
      </c>
      <c r="I744" s="76"/>
      <c r="J744" s="38">
        <f t="shared" si="883"/>
        <v>0</v>
      </c>
      <c r="K744" s="37"/>
      <c r="L744" s="39">
        <f t="shared" si="884"/>
        <v>0</v>
      </c>
      <c r="M744" s="38" t="e">
        <f t="shared" si="885"/>
        <v>#DIV/0!</v>
      </c>
      <c r="N744" s="76">
        <f>H744</f>
        <v>285</v>
      </c>
      <c r="O744" s="76">
        <f t="shared" si="839"/>
        <v>0</v>
      </c>
      <c r="P744" s="78">
        <f t="shared" si="840"/>
        <v>1</v>
      </c>
      <c r="Q744" s="76">
        <f t="shared" si="841"/>
        <v>285</v>
      </c>
      <c r="R744" s="76">
        <f t="shared" si="842"/>
        <v>0</v>
      </c>
      <c r="S744" s="90"/>
    </row>
    <row r="745" spans="1:19" s="107" customFormat="1" ht="29.25" customHeight="1" x14ac:dyDescent="0.25">
      <c r="A745" s="74"/>
      <c r="B745" s="75" t="s">
        <v>22</v>
      </c>
      <c r="C745" s="75"/>
      <c r="D745" s="76"/>
      <c r="E745" s="76"/>
      <c r="F745" s="76"/>
      <c r="G745" s="76"/>
      <c r="H745" s="76"/>
      <c r="I745" s="76"/>
      <c r="J745" s="38" t="e">
        <f>I745/H745</f>
        <v>#DIV/0!</v>
      </c>
      <c r="K745" s="37"/>
      <c r="L745" s="39" t="e">
        <f>K745/H745</f>
        <v>#DIV/0!</v>
      </c>
      <c r="M745" s="38" t="e">
        <f>K745/I745</f>
        <v>#DIV/0!</v>
      </c>
      <c r="N745" s="76">
        <f>H745</f>
        <v>0</v>
      </c>
      <c r="O745" s="76">
        <f t="shared" ref="O745:O782" si="886">H745-N745</f>
        <v>0</v>
      </c>
      <c r="P745" s="39" t="e">
        <f t="shared" ref="P745:P751" si="887">N745/H745</f>
        <v>#DIV/0!</v>
      </c>
      <c r="Q745" s="76">
        <f t="shared" ref="Q745:Q782" si="888">H745-K745</f>
        <v>0</v>
      </c>
      <c r="R745" s="76">
        <f t="shared" ref="R745:R782" si="889">I745-K745</f>
        <v>0</v>
      </c>
      <c r="S745" s="90"/>
    </row>
    <row r="746" spans="1:19" s="107" customFormat="1" ht="29.25" customHeight="1" x14ac:dyDescent="0.25">
      <c r="A746" s="188"/>
      <c r="B746" s="75" t="s">
        <v>11</v>
      </c>
      <c r="C746" s="75"/>
      <c r="D746" s="76"/>
      <c r="E746" s="76"/>
      <c r="F746" s="76"/>
      <c r="G746" s="79"/>
      <c r="H746" s="79"/>
      <c r="I746" s="79"/>
      <c r="J746" s="38"/>
      <c r="K746" s="60"/>
      <c r="L746" s="39"/>
      <c r="M746" s="38"/>
      <c r="N746" s="76"/>
      <c r="O746" s="79">
        <f t="shared" si="886"/>
        <v>0</v>
      </c>
      <c r="P746" s="39" t="e">
        <f t="shared" si="887"/>
        <v>#DIV/0!</v>
      </c>
      <c r="Q746" s="79">
        <f t="shared" si="888"/>
        <v>0</v>
      </c>
      <c r="R746" s="79">
        <f t="shared" si="889"/>
        <v>0</v>
      </c>
      <c r="S746" s="85"/>
    </row>
    <row r="747" spans="1:19" s="265" customFormat="1" ht="116.25" x14ac:dyDescent="0.25">
      <c r="A747" s="187" t="s">
        <v>159</v>
      </c>
      <c r="B747" s="240" t="s">
        <v>384</v>
      </c>
      <c r="C747" s="75" t="s">
        <v>17</v>
      </c>
      <c r="D747" s="76"/>
      <c r="E747" s="76"/>
      <c r="F747" s="76"/>
      <c r="G747" s="76">
        <f>SUM(G748:G752)</f>
        <v>4622.5</v>
      </c>
      <c r="H747" s="76">
        <f>SUM(H748:H752)</f>
        <v>4622.5</v>
      </c>
      <c r="I747" s="76">
        <f>SUM(I748:I752)</f>
        <v>500</v>
      </c>
      <c r="J747" s="78">
        <f>I747/H747</f>
        <v>0.11</v>
      </c>
      <c r="K747" s="76">
        <f>SUM(K748:K752)</f>
        <v>500</v>
      </c>
      <c r="L747" s="78">
        <f>K747/H747</f>
        <v>0.11</v>
      </c>
      <c r="M747" s="78">
        <f>K747/I747</f>
        <v>1</v>
      </c>
      <c r="N747" s="76">
        <f>SUM(N748:N752)</f>
        <v>4622.5</v>
      </c>
      <c r="O747" s="76">
        <f t="shared" si="886"/>
        <v>0</v>
      </c>
      <c r="P747" s="78">
        <f t="shared" si="887"/>
        <v>1</v>
      </c>
      <c r="Q747" s="76">
        <f t="shared" si="888"/>
        <v>4122.5</v>
      </c>
      <c r="R747" s="76">
        <f t="shared" si="889"/>
        <v>0</v>
      </c>
      <c r="S747" s="372" t="s">
        <v>461</v>
      </c>
    </row>
    <row r="748" spans="1:19" s="299" customFormat="1" ht="32.25" customHeight="1" x14ac:dyDescent="0.25">
      <c r="A748" s="74"/>
      <c r="B748" s="80" t="s">
        <v>83</v>
      </c>
      <c r="C748" s="80"/>
      <c r="D748" s="81"/>
      <c r="E748" s="81"/>
      <c r="F748" s="81"/>
      <c r="G748" s="82"/>
      <c r="H748" s="82"/>
      <c r="I748" s="82"/>
      <c r="J748" s="38" t="e">
        <f t="shared" ref="J748:J749" si="890">I748/H748</f>
        <v>#DIV/0!</v>
      </c>
      <c r="K748" s="332"/>
      <c r="L748" s="39" t="e">
        <f t="shared" ref="L748:L749" si="891">K748/H748</f>
        <v>#DIV/0!</v>
      </c>
      <c r="M748" s="38" t="e">
        <f t="shared" ref="M748:M749" si="892">K748/I748</f>
        <v>#DIV/0!</v>
      </c>
      <c r="N748" s="41"/>
      <c r="O748" s="332">
        <f t="shared" si="886"/>
        <v>0</v>
      </c>
      <c r="P748" s="39" t="e">
        <f t="shared" si="887"/>
        <v>#DIV/0!</v>
      </c>
      <c r="Q748" s="82">
        <f t="shared" si="888"/>
        <v>0</v>
      </c>
      <c r="R748" s="82">
        <f t="shared" si="889"/>
        <v>0</v>
      </c>
      <c r="S748" s="373"/>
    </row>
    <row r="749" spans="1:19" s="299" customFormat="1" ht="32.25" customHeight="1" x14ac:dyDescent="0.25">
      <c r="A749" s="74"/>
      <c r="B749" s="75" t="s">
        <v>8</v>
      </c>
      <c r="C749" s="75"/>
      <c r="D749" s="76"/>
      <c r="E749" s="76"/>
      <c r="F749" s="76"/>
      <c r="G749" s="76">
        <v>3957.5</v>
      </c>
      <c r="H749" s="76">
        <v>3957.5</v>
      </c>
      <c r="I749" s="76"/>
      <c r="J749" s="77">
        <f t="shared" si="890"/>
        <v>0</v>
      </c>
      <c r="K749" s="76"/>
      <c r="L749" s="78">
        <f t="shared" si="891"/>
        <v>0</v>
      </c>
      <c r="M749" s="38" t="e">
        <f t="shared" si="892"/>
        <v>#DIV/0!</v>
      </c>
      <c r="N749" s="76">
        <f>H749</f>
        <v>3957.5</v>
      </c>
      <c r="O749" s="76">
        <f t="shared" si="886"/>
        <v>0</v>
      </c>
      <c r="P749" s="78">
        <f t="shared" si="887"/>
        <v>1</v>
      </c>
      <c r="Q749" s="76">
        <f t="shared" si="888"/>
        <v>3957.5</v>
      </c>
      <c r="R749" s="76">
        <f t="shared" si="889"/>
        <v>0</v>
      </c>
      <c r="S749" s="373"/>
    </row>
    <row r="750" spans="1:19" s="299" customFormat="1" ht="32.25" customHeight="1" x14ac:dyDescent="0.25">
      <c r="A750" s="74"/>
      <c r="B750" s="75" t="s">
        <v>19</v>
      </c>
      <c r="C750" s="75"/>
      <c r="D750" s="76"/>
      <c r="E750" s="76"/>
      <c r="F750" s="76"/>
      <c r="G750" s="76">
        <v>665</v>
      </c>
      <c r="H750" s="76">
        <v>665</v>
      </c>
      <c r="I750" s="76">
        <v>500</v>
      </c>
      <c r="J750" s="77">
        <f>I750/H750</f>
        <v>0.75</v>
      </c>
      <c r="K750" s="76">
        <v>500</v>
      </c>
      <c r="L750" s="78">
        <f>K750/H750</f>
        <v>0.75</v>
      </c>
      <c r="M750" s="77">
        <f>K750/I750</f>
        <v>1</v>
      </c>
      <c r="N750" s="76">
        <f>H750</f>
        <v>665</v>
      </c>
      <c r="O750" s="76">
        <f t="shared" si="886"/>
        <v>0</v>
      </c>
      <c r="P750" s="78">
        <f t="shared" si="887"/>
        <v>1</v>
      </c>
      <c r="Q750" s="76">
        <f t="shared" si="888"/>
        <v>165</v>
      </c>
      <c r="R750" s="76">
        <f t="shared" si="889"/>
        <v>0</v>
      </c>
      <c r="S750" s="373"/>
    </row>
    <row r="751" spans="1:19" s="299" customFormat="1" ht="32.25" customHeight="1" x14ac:dyDescent="0.25">
      <c r="A751" s="74"/>
      <c r="B751" s="75" t="s">
        <v>22</v>
      </c>
      <c r="C751" s="75"/>
      <c r="D751" s="76"/>
      <c r="E751" s="76"/>
      <c r="F751" s="76"/>
      <c r="G751" s="76"/>
      <c r="H751" s="76"/>
      <c r="I751" s="76"/>
      <c r="J751" s="38" t="e">
        <f>I751/H751</f>
        <v>#DIV/0!</v>
      </c>
      <c r="K751" s="37"/>
      <c r="L751" s="39" t="e">
        <f>K751/H751</f>
        <v>#DIV/0!</v>
      </c>
      <c r="M751" s="38" t="e">
        <f>K751/I751</f>
        <v>#DIV/0!</v>
      </c>
      <c r="N751" s="37">
        <f>H751</f>
        <v>0</v>
      </c>
      <c r="O751" s="37">
        <f t="shared" si="886"/>
        <v>0</v>
      </c>
      <c r="P751" s="39" t="e">
        <f t="shared" si="887"/>
        <v>#DIV/0!</v>
      </c>
      <c r="Q751" s="76">
        <f t="shared" si="888"/>
        <v>0</v>
      </c>
      <c r="R751" s="76">
        <f t="shared" si="889"/>
        <v>0</v>
      </c>
      <c r="S751" s="373"/>
    </row>
    <row r="752" spans="1:19" s="300" customFormat="1" ht="32.25" customHeight="1" x14ac:dyDescent="0.25">
      <c r="A752" s="188"/>
      <c r="B752" s="75" t="s">
        <v>11</v>
      </c>
      <c r="C752" s="75"/>
      <c r="D752" s="76"/>
      <c r="E752" s="76"/>
      <c r="F752" s="76"/>
      <c r="G752" s="79"/>
      <c r="H752" s="79"/>
      <c r="I752" s="79"/>
      <c r="J752" s="77"/>
      <c r="K752" s="79"/>
      <c r="L752" s="78"/>
      <c r="M752" s="77"/>
      <c r="N752" s="76"/>
      <c r="O752" s="79">
        <f t="shared" si="886"/>
        <v>0</v>
      </c>
      <c r="P752" s="78"/>
      <c r="Q752" s="79">
        <f t="shared" si="888"/>
        <v>0</v>
      </c>
      <c r="R752" s="79">
        <f t="shared" si="889"/>
        <v>0</v>
      </c>
      <c r="S752" s="374"/>
    </row>
    <row r="753" spans="1:19" s="265" customFormat="1" ht="46.5" customHeight="1" x14ac:dyDescent="0.25">
      <c r="A753" s="74" t="s">
        <v>160</v>
      </c>
      <c r="B753" s="241" t="s">
        <v>84</v>
      </c>
      <c r="C753" s="80" t="s">
        <v>17</v>
      </c>
      <c r="D753" s="81"/>
      <c r="E753" s="81"/>
      <c r="F753" s="81"/>
      <c r="G753" s="81">
        <f>SUM(G754:G758)</f>
        <v>974</v>
      </c>
      <c r="H753" s="81">
        <f>SUM(H754:H758)</f>
        <v>974</v>
      </c>
      <c r="I753" s="81">
        <f>SUM(I754:I758)</f>
        <v>0</v>
      </c>
      <c r="J753" s="44">
        <f>I753/H753</f>
        <v>0</v>
      </c>
      <c r="K753" s="41">
        <f>SUM(K754:K758)</f>
        <v>0</v>
      </c>
      <c r="L753" s="44">
        <f>K753/H753</f>
        <v>0</v>
      </c>
      <c r="M753" s="44" t="e">
        <f>K753/I753</f>
        <v>#DIV/0!</v>
      </c>
      <c r="N753" s="81">
        <f>SUM(N754:N758)</f>
        <v>974</v>
      </c>
      <c r="O753" s="81">
        <f t="shared" si="886"/>
        <v>0</v>
      </c>
      <c r="P753" s="84">
        <f t="shared" ref="P753:P782" si="893">N753/H753</f>
        <v>1</v>
      </c>
      <c r="Q753" s="81">
        <f t="shared" si="888"/>
        <v>974</v>
      </c>
      <c r="R753" s="81">
        <f t="shared" si="889"/>
        <v>0</v>
      </c>
      <c r="S753" s="89" t="s">
        <v>406</v>
      </c>
    </row>
    <row r="754" spans="1:19" s="107" customFormat="1" ht="27" customHeight="1" x14ac:dyDescent="0.25">
      <c r="A754" s="74"/>
      <c r="B754" s="80" t="s">
        <v>83</v>
      </c>
      <c r="C754" s="80"/>
      <c r="D754" s="81"/>
      <c r="E754" s="81"/>
      <c r="F754" s="81"/>
      <c r="G754" s="82"/>
      <c r="H754" s="82"/>
      <c r="I754" s="82"/>
      <c r="J754" s="38" t="e">
        <f t="shared" ref="J754:J756" si="894">I754/H754</f>
        <v>#DIV/0!</v>
      </c>
      <c r="K754" s="332"/>
      <c r="L754" s="39" t="e">
        <f t="shared" ref="L754:L756" si="895">K754/H754</f>
        <v>#DIV/0!</v>
      </c>
      <c r="M754" s="38" t="e">
        <f t="shared" ref="M754:M756" si="896">K754/I754</f>
        <v>#DIV/0!</v>
      </c>
      <c r="N754" s="81">
        <f>H754</f>
        <v>0</v>
      </c>
      <c r="O754" s="82">
        <f t="shared" si="886"/>
        <v>0</v>
      </c>
      <c r="P754" s="39" t="e">
        <f t="shared" si="893"/>
        <v>#DIV/0!</v>
      </c>
      <c r="Q754" s="82">
        <f t="shared" si="888"/>
        <v>0</v>
      </c>
      <c r="R754" s="82">
        <f t="shared" si="889"/>
        <v>0</v>
      </c>
      <c r="S754" s="90"/>
    </row>
    <row r="755" spans="1:19" s="107" customFormat="1" ht="27" customHeight="1" x14ac:dyDescent="0.25">
      <c r="A755" s="74"/>
      <c r="B755" s="75" t="s">
        <v>8</v>
      </c>
      <c r="C755" s="75"/>
      <c r="D755" s="76"/>
      <c r="E755" s="76"/>
      <c r="F755" s="76"/>
      <c r="G755" s="76">
        <v>309</v>
      </c>
      <c r="H755" s="76">
        <v>309</v>
      </c>
      <c r="I755" s="76"/>
      <c r="J755" s="38">
        <f t="shared" si="894"/>
        <v>0</v>
      </c>
      <c r="K755" s="37"/>
      <c r="L755" s="39">
        <f t="shared" si="895"/>
        <v>0</v>
      </c>
      <c r="M755" s="38" t="e">
        <f t="shared" si="896"/>
        <v>#DIV/0!</v>
      </c>
      <c r="N755" s="76">
        <f>H755</f>
        <v>309</v>
      </c>
      <c r="O755" s="76">
        <f t="shared" si="886"/>
        <v>0</v>
      </c>
      <c r="P755" s="78">
        <f t="shared" si="893"/>
        <v>1</v>
      </c>
      <c r="Q755" s="76">
        <f t="shared" si="888"/>
        <v>309</v>
      </c>
      <c r="R755" s="76">
        <f t="shared" si="889"/>
        <v>0</v>
      </c>
      <c r="S755" s="90"/>
    </row>
    <row r="756" spans="1:19" s="107" customFormat="1" ht="27" customHeight="1" x14ac:dyDescent="0.25">
      <c r="A756" s="74"/>
      <c r="B756" s="75" t="s">
        <v>19</v>
      </c>
      <c r="C756" s="75"/>
      <c r="D756" s="76"/>
      <c r="E756" s="76"/>
      <c r="F756" s="76"/>
      <c r="G756" s="76">
        <v>665</v>
      </c>
      <c r="H756" s="76">
        <v>665</v>
      </c>
      <c r="I756" s="76"/>
      <c r="J756" s="38">
        <f t="shared" si="894"/>
        <v>0</v>
      </c>
      <c r="K756" s="37"/>
      <c r="L756" s="39">
        <f t="shared" si="895"/>
        <v>0</v>
      </c>
      <c r="M756" s="38" t="e">
        <f t="shared" si="896"/>
        <v>#DIV/0!</v>
      </c>
      <c r="N756" s="76">
        <f>H756</f>
        <v>665</v>
      </c>
      <c r="O756" s="76">
        <f t="shared" si="886"/>
        <v>0</v>
      </c>
      <c r="P756" s="78">
        <f t="shared" si="893"/>
        <v>1</v>
      </c>
      <c r="Q756" s="76">
        <f t="shared" si="888"/>
        <v>665</v>
      </c>
      <c r="R756" s="76">
        <f t="shared" si="889"/>
        <v>0</v>
      </c>
      <c r="S756" s="90"/>
    </row>
    <row r="757" spans="1:19" s="107" customFormat="1" ht="27" customHeight="1" x14ac:dyDescent="0.25">
      <c r="A757" s="74"/>
      <c r="B757" s="75" t="s">
        <v>22</v>
      </c>
      <c r="C757" s="75"/>
      <c r="D757" s="76"/>
      <c r="E757" s="76"/>
      <c r="F757" s="76"/>
      <c r="G757" s="76"/>
      <c r="H757" s="76"/>
      <c r="I757" s="76"/>
      <c r="J757" s="77"/>
      <c r="K757" s="76"/>
      <c r="L757" s="78"/>
      <c r="M757" s="77"/>
      <c r="N757" s="76">
        <f>H757</f>
        <v>0</v>
      </c>
      <c r="O757" s="76">
        <f t="shared" si="886"/>
        <v>0</v>
      </c>
      <c r="P757" s="39" t="e">
        <f t="shared" si="893"/>
        <v>#DIV/0!</v>
      </c>
      <c r="Q757" s="76">
        <f t="shared" si="888"/>
        <v>0</v>
      </c>
      <c r="R757" s="76">
        <f t="shared" si="889"/>
        <v>0</v>
      </c>
      <c r="S757" s="90"/>
    </row>
    <row r="758" spans="1:19" s="107" customFormat="1" ht="27" customHeight="1" x14ac:dyDescent="0.25">
      <c r="A758" s="188"/>
      <c r="B758" s="75" t="s">
        <v>11</v>
      </c>
      <c r="C758" s="75"/>
      <c r="D758" s="76"/>
      <c r="E758" s="76"/>
      <c r="F758" s="76"/>
      <c r="G758" s="79"/>
      <c r="H758" s="79"/>
      <c r="I758" s="79"/>
      <c r="J758" s="77"/>
      <c r="K758" s="79"/>
      <c r="L758" s="78"/>
      <c r="M758" s="77"/>
      <c r="N758" s="76"/>
      <c r="O758" s="79">
        <f t="shared" si="886"/>
        <v>0</v>
      </c>
      <c r="P758" s="39" t="e">
        <f t="shared" si="893"/>
        <v>#DIV/0!</v>
      </c>
      <c r="Q758" s="79">
        <f t="shared" si="888"/>
        <v>0</v>
      </c>
      <c r="R758" s="79">
        <f t="shared" si="889"/>
        <v>0</v>
      </c>
      <c r="S758" s="85"/>
    </row>
    <row r="759" spans="1:19" s="245" customFormat="1" ht="46.5" customHeight="1" x14ac:dyDescent="0.25">
      <c r="A759" s="187" t="s">
        <v>161</v>
      </c>
      <c r="B759" s="240" t="s">
        <v>85</v>
      </c>
      <c r="C759" s="75" t="s">
        <v>17</v>
      </c>
      <c r="D759" s="76"/>
      <c r="E759" s="76"/>
      <c r="F759" s="76"/>
      <c r="G759" s="76">
        <f>SUM(G760:G764)</f>
        <v>2645</v>
      </c>
      <c r="H759" s="76">
        <f>SUM(H760:H764)</f>
        <v>2645</v>
      </c>
      <c r="I759" s="76">
        <f>SUM(I760:I764)</f>
        <v>0</v>
      </c>
      <c r="J759" s="39">
        <f>I759/H759</f>
        <v>0</v>
      </c>
      <c r="K759" s="37">
        <f>SUM(K760:K764)</f>
        <v>0</v>
      </c>
      <c r="L759" s="39">
        <f>K759/H759</f>
        <v>0</v>
      </c>
      <c r="M759" s="39" t="e">
        <f>K759/I759</f>
        <v>#DIV/0!</v>
      </c>
      <c r="N759" s="76">
        <f>SUM(N760:N764)</f>
        <v>2645</v>
      </c>
      <c r="O759" s="76">
        <f t="shared" si="886"/>
        <v>0</v>
      </c>
      <c r="P759" s="78">
        <f t="shared" si="893"/>
        <v>1</v>
      </c>
      <c r="Q759" s="76">
        <f t="shared" si="888"/>
        <v>2645</v>
      </c>
      <c r="R759" s="76">
        <f t="shared" si="889"/>
        <v>0</v>
      </c>
      <c r="S759" s="89" t="s">
        <v>460</v>
      </c>
    </row>
    <row r="760" spans="1:19" s="107" customFormat="1" ht="27" customHeight="1" x14ac:dyDescent="0.25">
      <c r="A760" s="74"/>
      <c r="B760" s="80" t="s">
        <v>83</v>
      </c>
      <c r="C760" s="80"/>
      <c r="D760" s="81"/>
      <c r="E760" s="81"/>
      <c r="F760" s="81"/>
      <c r="G760" s="82"/>
      <c r="H760" s="82"/>
      <c r="I760" s="82"/>
      <c r="J760" s="38" t="e">
        <f t="shared" ref="J760:J762" si="897">I760/H760</f>
        <v>#DIV/0!</v>
      </c>
      <c r="K760" s="332"/>
      <c r="L760" s="39" t="e">
        <f t="shared" ref="L760:L762" si="898">K760/H760</f>
        <v>#DIV/0!</v>
      </c>
      <c r="M760" s="38" t="e">
        <f t="shared" ref="M760:M762" si="899">K760/I760</f>
        <v>#DIV/0!</v>
      </c>
      <c r="N760" s="41"/>
      <c r="O760" s="332">
        <f t="shared" si="886"/>
        <v>0</v>
      </c>
      <c r="P760" s="39" t="e">
        <f t="shared" si="893"/>
        <v>#DIV/0!</v>
      </c>
      <c r="Q760" s="82">
        <f t="shared" si="888"/>
        <v>0</v>
      </c>
      <c r="R760" s="82">
        <f t="shared" si="889"/>
        <v>0</v>
      </c>
      <c r="S760" s="90" t="s">
        <v>459</v>
      </c>
    </row>
    <row r="761" spans="1:19" s="107" customFormat="1" ht="27" customHeight="1" x14ac:dyDescent="0.25">
      <c r="A761" s="74"/>
      <c r="B761" s="75" t="s">
        <v>8</v>
      </c>
      <c r="C761" s="75"/>
      <c r="D761" s="76"/>
      <c r="E761" s="76"/>
      <c r="F761" s="76"/>
      <c r="G761" s="76">
        <v>2360</v>
      </c>
      <c r="H761" s="76">
        <v>2360</v>
      </c>
      <c r="I761" s="76"/>
      <c r="J761" s="38">
        <f t="shared" si="897"/>
        <v>0</v>
      </c>
      <c r="K761" s="37"/>
      <c r="L761" s="39">
        <f t="shared" si="898"/>
        <v>0</v>
      </c>
      <c r="M761" s="38" t="e">
        <f t="shared" si="899"/>
        <v>#DIV/0!</v>
      </c>
      <c r="N761" s="76">
        <f>H761</f>
        <v>2360</v>
      </c>
      <c r="O761" s="76">
        <f t="shared" si="886"/>
        <v>0</v>
      </c>
      <c r="P761" s="78">
        <f t="shared" si="893"/>
        <v>1</v>
      </c>
      <c r="Q761" s="76">
        <f t="shared" si="888"/>
        <v>2360</v>
      </c>
      <c r="R761" s="76">
        <f t="shared" si="889"/>
        <v>0</v>
      </c>
      <c r="S761" s="90"/>
    </row>
    <row r="762" spans="1:19" s="107" customFormat="1" ht="27" customHeight="1" x14ac:dyDescent="0.25">
      <c r="A762" s="74"/>
      <c r="B762" s="75" t="s">
        <v>19</v>
      </c>
      <c r="C762" s="75"/>
      <c r="D762" s="76"/>
      <c r="E762" s="76"/>
      <c r="F762" s="76"/>
      <c r="G762" s="76">
        <v>285</v>
      </c>
      <c r="H762" s="76">
        <v>285</v>
      </c>
      <c r="I762" s="76"/>
      <c r="J762" s="38">
        <f t="shared" si="897"/>
        <v>0</v>
      </c>
      <c r="K762" s="37"/>
      <c r="L762" s="39">
        <f t="shared" si="898"/>
        <v>0</v>
      </c>
      <c r="M762" s="38" t="e">
        <f t="shared" si="899"/>
        <v>#DIV/0!</v>
      </c>
      <c r="N762" s="76">
        <f>H762</f>
        <v>285</v>
      </c>
      <c r="O762" s="76">
        <f t="shared" si="886"/>
        <v>0</v>
      </c>
      <c r="P762" s="78">
        <f t="shared" si="893"/>
        <v>1</v>
      </c>
      <c r="Q762" s="76">
        <f t="shared" si="888"/>
        <v>285</v>
      </c>
      <c r="R762" s="76">
        <f t="shared" si="889"/>
        <v>0</v>
      </c>
      <c r="S762" s="90"/>
    </row>
    <row r="763" spans="1:19" s="107" customFormat="1" ht="27" customHeight="1" x14ac:dyDescent="0.25">
      <c r="A763" s="74"/>
      <c r="B763" s="75" t="s">
        <v>22</v>
      </c>
      <c r="C763" s="75"/>
      <c r="D763" s="76"/>
      <c r="E763" s="76"/>
      <c r="F763" s="76"/>
      <c r="G763" s="76"/>
      <c r="H763" s="76"/>
      <c r="I763" s="76"/>
      <c r="J763" s="38" t="e">
        <f>I763/H763</f>
        <v>#DIV/0!</v>
      </c>
      <c r="K763" s="37"/>
      <c r="L763" s="39" t="e">
        <f>K763/H763</f>
        <v>#DIV/0!</v>
      </c>
      <c r="M763" s="38" t="e">
        <f>K763/I763</f>
        <v>#DIV/0!</v>
      </c>
      <c r="N763" s="76">
        <f>H763</f>
        <v>0</v>
      </c>
      <c r="O763" s="76">
        <f t="shared" si="886"/>
        <v>0</v>
      </c>
      <c r="P763" s="39" t="e">
        <f t="shared" si="893"/>
        <v>#DIV/0!</v>
      </c>
      <c r="Q763" s="76">
        <f t="shared" si="888"/>
        <v>0</v>
      </c>
      <c r="R763" s="76">
        <f t="shared" si="889"/>
        <v>0</v>
      </c>
      <c r="S763" s="90"/>
    </row>
    <row r="764" spans="1:19" s="107" customFormat="1" ht="27" customHeight="1" collapsed="1" x14ac:dyDescent="0.25">
      <c r="A764" s="188"/>
      <c r="B764" s="75" t="s">
        <v>11</v>
      </c>
      <c r="C764" s="75"/>
      <c r="D764" s="76"/>
      <c r="E764" s="76"/>
      <c r="F764" s="76"/>
      <c r="G764" s="79"/>
      <c r="H764" s="79"/>
      <c r="I764" s="79"/>
      <c r="J764" s="38"/>
      <c r="K764" s="60"/>
      <c r="L764" s="39"/>
      <c r="M764" s="38"/>
      <c r="N764" s="76"/>
      <c r="O764" s="79">
        <f t="shared" si="886"/>
        <v>0</v>
      </c>
      <c r="P764" s="39" t="e">
        <f t="shared" si="893"/>
        <v>#DIV/0!</v>
      </c>
      <c r="Q764" s="79">
        <f t="shared" si="888"/>
        <v>0</v>
      </c>
      <c r="R764" s="79">
        <f t="shared" si="889"/>
        <v>0</v>
      </c>
      <c r="S764" s="85"/>
    </row>
    <row r="765" spans="1:19" s="239" customFormat="1" ht="46.5" customHeight="1" x14ac:dyDescent="0.25">
      <c r="A765" s="187" t="s">
        <v>218</v>
      </c>
      <c r="B765" s="240" t="s">
        <v>86</v>
      </c>
      <c r="C765" s="75" t="s">
        <v>17</v>
      </c>
      <c r="D765" s="76"/>
      <c r="E765" s="76"/>
      <c r="F765" s="76"/>
      <c r="G765" s="76">
        <f>SUM(G766:G770)</f>
        <v>1043.4000000000001</v>
      </c>
      <c r="H765" s="76">
        <f>SUM(H766:H770)</f>
        <v>1043.4000000000001</v>
      </c>
      <c r="I765" s="76">
        <f>SUM(I766:I770)</f>
        <v>0</v>
      </c>
      <c r="J765" s="39">
        <f>I765/H765</f>
        <v>0</v>
      </c>
      <c r="K765" s="37">
        <f>SUM(K766:K770)</f>
        <v>0</v>
      </c>
      <c r="L765" s="39">
        <f>K765/H765</f>
        <v>0</v>
      </c>
      <c r="M765" s="39" t="e">
        <f>K765/I765</f>
        <v>#DIV/0!</v>
      </c>
      <c r="N765" s="76">
        <f>SUM(N766:N770)</f>
        <v>1043.4000000000001</v>
      </c>
      <c r="O765" s="76">
        <f t="shared" si="886"/>
        <v>0</v>
      </c>
      <c r="P765" s="78">
        <f t="shared" si="893"/>
        <v>1</v>
      </c>
      <c r="Q765" s="76">
        <f t="shared" si="888"/>
        <v>1043.4000000000001</v>
      </c>
      <c r="R765" s="76">
        <f t="shared" si="889"/>
        <v>0</v>
      </c>
      <c r="S765" s="89" t="s">
        <v>458</v>
      </c>
    </row>
    <row r="766" spans="1:19" s="107" customFormat="1" ht="30.75" customHeight="1" x14ac:dyDescent="0.25">
      <c r="A766" s="74"/>
      <c r="B766" s="80" t="s">
        <v>83</v>
      </c>
      <c r="C766" s="80"/>
      <c r="D766" s="81"/>
      <c r="E766" s="81"/>
      <c r="F766" s="81"/>
      <c r="G766" s="82"/>
      <c r="H766" s="82"/>
      <c r="I766" s="82"/>
      <c r="J766" s="38" t="e">
        <f t="shared" ref="J766:J768" si="900">I766/H766</f>
        <v>#DIV/0!</v>
      </c>
      <c r="K766" s="332"/>
      <c r="L766" s="39" t="e">
        <f t="shared" ref="L766:L768" si="901">K766/H766</f>
        <v>#DIV/0!</v>
      </c>
      <c r="M766" s="38" t="e">
        <f t="shared" ref="M766:M768" si="902">K766/I766</f>
        <v>#DIV/0!</v>
      </c>
      <c r="N766" s="81">
        <f>H766</f>
        <v>0</v>
      </c>
      <c r="O766" s="82">
        <f t="shared" si="886"/>
        <v>0</v>
      </c>
      <c r="P766" s="39" t="e">
        <f t="shared" si="893"/>
        <v>#DIV/0!</v>
      </c>
      <c r="Q766" s="82">
        <f t="shared" si="888"/>
        <v>0</v>
      </c>
      <c r="R766" s="82">
        <f t="shared" si="889"/>
        <v>0</v>
      </c>
      <c r="S766" s="90" t="s">
        <v>459</v>
      </c>
    </row>
    <row r="767" spans="1:19" s="107" customFormat="1" ht="30.75" customHeight="1" x14ac:dyDescent="0.25">
      <c r="A767" s="74"/>
      <c r="B767" s="75" t="s">
        <v>8</v>
      </c>
      <c r="C767" s="75"/>
      <c r="D767" s="76"/>
      <c r="E767" s="76"/>
      <c r="F767" s="76"/>
      <c r="G767" s="76">
        <v>503.8</v>
      </c>
      <c r="H767" s="76">
        <v>503.8</v>
      </c>
      <c r="I767" s="76"/>
      <c r="J767" s="38">
        <f t="shared" si="900"/>
        <v>0</v>
      </c>
      <c r="K767" s="37"/>
      <c r="L767" s="39">
        <f t="shared" si="901"/>
        <v>0</v>
      </c>
      <c r="M767" s="38" t="e">
        <f t="shared" si="902"/>
        <v>#DIV/0!</v>
      </c>
      <c r="N767" s="76">
        <f>H767</f>
        <v>503.8</v>
      </c>
      <c r="O767" s="76">
        <f t="shared" si="886"/>
        <v>0</v>
      </c>
      <c r="P767" s="78">
        <f t="shared" si="893"/>
        <v>1</v>
      </c>
      <c r="Q767" s="76">
        <f t="shared" si="888"/>
        <v>503.8</v>
      </c>
      <c r="R767" s="76">
        <f t="shared" si="889"/>
        <v>0</v>
      </c>
      <c r="S767" s="90"/>
    </row>
    <row r="768" spans="1:19" s="107" customFormat="1" ht="30.75" customHeight="1" x14ac:dyDescent="0.25">
      <c r="A768" s="74"/>
      <c r="B768" s="75" t="s">
        <v>19</v>
      </c>
      <c r="C768" s="75"/>
      <c r="D768" s="76"/>
      <c r="E768" s="76"/>
      <c r="F768" s="76"/>
      <c r="G768" s="76">
        <v>539.6</v>
      </c>
      <c r="H768" s="76">
        <v>539.6</v>
      </c>
      <c r="I768" s="76"/>
      <c r="J768" s="38">
        <f t="shared" si="900"/>
        <v>0</v>
      </c>
      <c r="K768" s="37"/>
      <c r="L768" s="39">
        <f t="shared" si="901"/>
        <v>0</v>
      </c>
      <c r="M768" s="38" t="e">
        <f t="shared" si="902"/>
        <v>#DIV/0!</v>
      </c>
      <c r="N768" s="76">
        <f>H768</f>
        <v>539.6</v>
      </c>
      <c r="O768" s="76">
        <f t="shared" si="886"/>
        <v>0</v>
      </c>
      <c r="P768" s="78">
        <f t="shared" si="893"/>
        <v>1</v>
      </c>
      <c r="Q768" s="76">
        <f t="shared" si="888"/>
        <v>539.6</v>
      </c>
      <c r="R768" s="76">
        <f t="shared" si="889"/>
        <v>0</v>
      </c>
      <c r="S768" s="90"/>
    </row>
    <row r="769" spans="1:19" s="107" customFormat="1" ht="30.75" customHeight="1" x14ac:dyDescent="0.25">
      <c r="A769" s="74"/>
      <c r="B769" s="75" t="s">
        <v>22</v>
      </c>
      <c r="C769" s="75"/>
      <c r="D769" s="76"/>
      <c r="E769" s="76"/>
      <c r="F769" s="76"/>
      <c r="G769" s="76"/>
      <c r="H769" s="76"/>
      <c r="I769" s="76"/>
      <c r="J769" s="38" t="e">
        <f>I769/H769</f>
        <v>#DIV/0!</v>
      </c>
      <c r="K769" s="37"/>
      <c r="L769" s="39" t="e">
        <f>K769/H769</f>
        <v>#DIV/0!</v>
      </c>
      <c r="M769" s="38" t="e">
        <f>K769/I769</f>
        <v>#DIV/0!</v>
      </c>
      <c r="N769" s="76">
        <f>H769</f>
        <v>0</v>
      </c>
      <c r="O769" s="76">
        <f t="shared" si="886"/>
        <v>0</v>
      </c>
      <c r="P769" s="39" t="e">
        <f t="shared" si="893"/>
        <v>#DIV/0!</v>
      </c>
      <c r="Q769" s="76">
        <f t="shared" si="888"/>
        <v>0</v>
      </c>
      <c r="R769" s="76">
        <f t="shared" si="889"/>
        <v>0</v>
      </c>
      <c r="S769" s="90"/>
    </row>
    <row r="770" spans="1:19" s="107" customFormat="1" ht="30.75" customHeight="1" x14ac:dyDescent="0.25">
      <c r="A770" s="188"/>
      <c r="B770" s="75" t="s">
        <v>11</v>
      </c>
      <c r="C770" s="75"/>
      <c r="D770" s="76"/>
      <c r="E770" s="76"/>
      <c r="F770" s="76"/>
      <c r="G770" s="79"/>
      <c r="H770" s="79"/>
      <c r="I770" s="79"/>
      <c r="J770" s="77"/>
      <c r="K770" s="79"/>
      <c r="L770" s="78"/>
      <c r="M770" s="77"/>
      <c r="N770" s="76"/>
      <c r="O770" s="79">
        <f t="shared" si="886"/>
        <v>0</v>
      </c>
      <c r="P770" s="39" t="e">
        <f t="shared" si="893"/>
        <v>#DIV/0!</v>
      </c>
      <c r="Q770" s="79">
        <f t="shared" si="888"/>
        <v>0</v>
      </c>
      <c r="R770" s="79">
        <f t="shared" si="889"/>
        <v>0</v>
      </c>
      <c r="S770" s="85"/>
    </row>
    <row r="771" spans="1:19" s="239" customFormat="1" ht="69.75" x14ac:dyDescent="0.25">
      <c r="A771" s="152" t="s">
        <v>162</v>
      </c>
      <c r="B771" s="293" t="s">
        <v>108</v>
      </c>
      <c r="C771" s="154" t="s">
        <v>2</v>
      </c>
      <c r="D771" s="155">
        <f t="shared" ref="D771:I771" si="903">SUM(D772:D776)</f>
        <v>0</v>
      </c>
      <c r="E771" s="155">
        <f t="shared" si="903"/>
        <v>0</v>
      </c>
      <c r="F771" s="155">
        <f t="shared" si="903"/>
        <v>0</v>
      </c>
      <c r="G771" s="155">
        <f t="shared" si="903"/>
        <v>125343.35</v>
      </c>
      <c r="H771" s="155">
        <f t="shared" si="903"/>
        <v>125343.35</v>
      </c>
      <c r="I771" s="155">
        <f t="shared" si="903"/>
        <v>97876.79</v>
      </c>
      <c r="J771" s="156">
        <f t="shared" ref="J771:J776" si="904">I771/H771</f>
        <v>0.78</v>
      </c>
      <c r="K771" s="155">
        <f>SUM(K772:K776)</f>
        <v>44216</v>
      </c>
      <c r="L771" s="182">
        <f t="shared" ref="L771" si="905">K771/H771</f>
        <v>0.35</v>
      </c>
      <c r="M771" s="124">
        <f>K771/I771</f>
        <v>0.45</v>
      </c>
      <c r="N771" s="155">
        <f t="shared" ref="N771:O771" si="906">SUM(N772:N776)</f>
        <v>125343.35</v>
      </c>
      <c r="O771" s="155">
        <f t="shared" si="906"/>
        <v>0</v>
      </c>
      <c r="P771" s="182">
        <f t="shared" si="893"/>
        <v>1</v>
      </c>
      <c r="Q771" s="155">
        <f t="shared" si="888"/>
        <v>81127.350000000006</v>
      </c>
      <c r="R771" s="155">
        <f t="shared" si="889"/>
        <v>53660.79</v>
      </c>
      <c r="S771" s="428"/>
    </row>
    <row r="772" spans="1:19" s="107" customFormat="1" ht="34.5" customHeight="1" x14ac:dyDescent="0.25">
      <c r="A772" s="159"/>
      <c r="B772" s="75" t="s">
        <v>10</v>
      </c>
      <c r="C772" s="75"/>
      <c r="D772" s="76"/>
      <c r="E772" s="76"/>
      <c r="F772" s="76"/>
      <c r="G772" s="76">
        <f t="shared" ref="G772:I776" si="907">G778+G784</f>
        <v>0</v>
      </c>
      <c r="H772" s="76">
        <f t="shared" si="907"/>
        <v>0</v>
      </c>
      <c r="I772" s="76">
        <f t="shared" si="907"/>
        <v>0</v>
      </c>
      <c r="J772" s="38" t="e">
        <f t="shared" si="904"/>
        <v>#DIV/0!</v>
      </c>
      <c r="K772" s="37">
        <f>K778+K784</f>
        <v>0</v>
      </c>
      <c r="L772" s="54"/>
      <c r="M772" s="38"/>
      <c r="N772" s="37">
        <f>N778+N784</f>
        <v>0</v>
      </c>
      <c r="O772" s="37">
        <f t="shared" ref="N772:O776" si="908">O778</f>
        <v>0</v>
      </c>
      <c r="P772" s="39" t="e">
        <f t="shared" si="893"/>
        <v>#DIV/0!</v>
      </c>
      <c r="Q772" s="76">
        <f t="shared" si="888"/>
        <v>0</v>
      </c>
      <c r="R772" s="76">
        <f t="shared" si="889"/>
        <v>0</v>
      </c>
      <c r="S772" s="373"/>
    </row>
    <row r="773" spans="1:19" s="107" customFormat="1" ht="34.5" customHeight="1" x14ac:dyDescent="0.25">
      <c r="A773" s="159"/>
      <c r="B773" s="75" t="s">
        <v>8</v>
      </c>
      <c r="C773" s="75"/>
      <c r="D773" s="76"/>
      <c r="E773" s="76"/>
      <c r="F773" s="76"/>
      <c r="G773" s="76">
        <f t="shared" si="907"/>
        <v>116691.07</v>
      </c>
      <c r="H773" s="76">
        <f>H779+H785</f>
        <v>116691.07</v>
      </c>
      <c r="I773" s="76">
        <f t="shared" si="907"/>
        <v>97759.59</v>
      </c>
      <c r="J773" s="77">
        <f t="shared" si="904"/>
        <v>0.84</v>
      </c>
      <c r="K773" s="76">
        <f>K779+K785</f>
        <v>44098.8</v>
      </c>
      <c r="L773" s="182">
        <f>K773/H773</f>
        <v>0.38</v>
      </c>
      <c r="M773" s="77">
        <f>K773/I773</f>
        <v>0.45</v>
      </c>
      <c r="N773" s="76">
        <f>N779+N785</f>
        <v>116691.07</v>
      </c>
      <c r="O773" s="76">
        <f t="shared" si="908"/>
        <v>0</v>
      </c>
      <c r="P773" s="78">
        <f>N773/H773</f>
        <v>1</v>
      </c>
      <c r="Q773" s="76">
        <f t="shared" si="888"/>
        <v>72592.27</v>
      </c>
      <c r="R773" s="76">
        <f t="shared" si="889"/>
        <v>53660.79</v>
      </c>
      <c r="S773" s="373"/>
    </row>
    <row r="774" spans="1:19" s="107" customFormat="1" ht="34.5" customHeight="1" x14ac:dyDescent="0.25">
      <c r="A774" s="159"/>
      <c r="B774" s="75" t="s">
        <v>19</v>
      </c>
      <c r="C774" s="75"/>
      <c r="D774" s="76"/>
      <c r="E774" s="76"/>
      <c r="F774" s="76"/>
      <c r="G774" s="76">
        <f t="shared" si="907"/>
        <v>4780.5</v>
      </c>
      <c r="H774" s="76">
        <f t="shared" si="907"/>
        <v>4780.5</v>
      </c>
      <c r="I774" s="76">
        <f t="shared" si="907"/>
        <v>76.7</v>
      </c>
      <c r="J774" s="77"/>
      <c r="K774" s="76">
        <f>K780+K786</f>
        <v>76.7</v>
      </c>
      <c r="L774" s="73">
        <f>K774/H774</f>
        <v>0.02</v>
      </c>
      <c r="M774" s="77">
        <f>K774/I774</f>
        <v>1</v>
      </c>
      <c r="N774" s="76">
        <f>N780+N786</f>
        <v>4780.5</v>
      </c>
      <c r="O774" s="76">
        <f t="shared" si="908"/>
        <v>0</v>
      </c>
      <c r="P774" s="78"/>
      <c r="Q774" s="76">
        <f t="shared" si="888"/>
        <v>4703.8</v>
      </c>
      <c r="R774" s="76">
        <f t="shared" si="889"/>
        <v>0</v>
      </c>
      <c r="S774" s="373"/>
    </row>
    <row r="775" spans="1:19" s="107" customFormat="1" ht="34.5" customHeight="1" x14ac:dyDescent="0.25">
      <c r="A775" s="159"/>
      <c r="B775" s="75" t="s">
        <v>22</v>
      </c>
      <c r="C775" s="75"/>
      <c r="D775" s="76"/>
      <c r="E775" s="76"/>
      <c r="F775" s="76"/>
      <c r="G775" s="76">
        <f t="shared" si="907"/>
        <v>3871.78</v>
      </c>
      <c r="H775" s="76">
        <f t="shared" si="907"/>
        <v>3871.78</v>
      </c>
      <c r="I775" s="76">
        <f t="shared" si="907"/>
        <v>40.5</v>
      </c>
      <c r="J775" s="77">
        <f>I775/H775</f>
        <v>0.01</v>
      </c>
      <c r="K775" s="76">
        <f>K781+K787</f>
        <v>40.5</v>
      </c>
      <c r="L775" s="182">
        <f>K775/H775</f>
        <v>0.01</v>
      </c>
      <c r="M775" s="77"/>
      <c r="N775" s="76">
        <f>N781+N787</f>
        <v>3871.78</v>
      </c>
      <c r="O775" s="76">
        <f t="shared" si="908"/>
        <v>0</v>
      </c>
      <c r="P775" s="78">
        <f t="shared" si="893"/>
        <v>1</v>
      </c>
      <c r="Q775" s="76">
        <f t="shared" si="888"/>
        <v>3831.28</v>
      </c>
      <c r="R775" s="76">
        <f t="shared" si="889"/>
        <v>0</v>
      </c>
      <c r="S775" s="373"/>
    </row>
    <row r="776" spans="1:19" s="107" customFormat="1" ht="34.5" customHeight="1" x14ac:dyDescent="0.25">
      <c r="A776" s="162"/>
      <c r="B776" s="75" t="s">
        <v>11</v>
      </c>
      <c r="C776" s="75"/>
      <c r="D776" s="76"/>
      <c r="E776" s="76"/>
      <c r="F776" s="76"/>
      <c r="G776" s="76">
        <f t="shared" si="907"/>
        <v>0</v>
      </c>
      <c r="H776" s="76">
        <f t="shared" si="907"/>
        <v>0</v>
      </c>
      <c r="I776" s="76">
        <f t="shared" si="907"/>
        <v>0</v>
      </c>
      <c r="J776" s="38" t="e">
        <f t="shared" si="904"/>
        <v>#DIV/0!</v>
      </c>
      <c r="K776" s="37">
        <f>K782+K788</f>
        <v>0</v>
      </c>
      <c r="L776" s="54"/>
      <c r="M776" s="38"/>
      <c r="N776" s="37">
        <f t="shared" si="908"/>
        <v>0</v>
      </c>
      <c r="O776" s="37">
        <f t="shared" si="908"/>
        <v>0</v>
      </c>
      <c r="P776" s="39" t="e">
        <f t="shared" si="893"/>
        <v>#DIV/0!</v>
      </c>
      <c r="Q776" s="76">
        <f t="shared" si="888"/>
        <v>0</v>
      </c>
      <c r="R776" s="76">
        <f t="shared" si="889"/>
        <v>0</v>
      </c>
      <c r="S776" s="374"/>
    </row>
    <row r="777" spans="1:19" s="244" customFormat="1" ht="113.25" customHeight="1" x14ac:dyDescent="0.25">
      <c r="A777" s="67" t="s">
        <v>163</v>
      </c>
      <c r="B777" s="295" t="s">
        <v>360</v>
      </c>
      <c r="C777" s="69" t="s">
        <v>17</v>
      </c>
      <c r="D777" s="70"/>
      <c r="E777" s="70"/>
      <c r="F777" s="70"/>
      <c r="G777" s="70">
        <f>SUM(G778:G782)</f>
        <v>29734.05</v>
      </c>
      <c r="H777" s="70">
        <f>SUM(H778:H782)</f>
        <v>29734.05</v>
      </c>
      <c r="I777" s="70">
        <f>SUM(I778:I782)</f>
        <v>20539.39</v>
      </c>
      <c r="J777" s="73">
        <f>I777/H777</f>
        <v>0.69</v>
      </c>
      <c r="K777" s="70">
        <f>SUM(K778:K782)</f>
        <v>7011.55</v>
      </c>
      <c r="L777" s="73">
        <f>K777/H777</f>
        <v>0.24</v>
      </c>
      <c r="M777" s="77">
        <f>K777/I777</f>
        <v>0.34</v>
      </c>
      <c r="N777" s="70">
        <f>SUM(N778:N782)</f>
        <v>29734.05</v>
      </c>
      <c r="O777" s="76">
        <f>H777-N777</f>
        <v>0</v>
      </c>
      <c r="P777" s="73">
        <f t="shared" si="893"/>
        <v>1</v>
      </c>
      <c r="Q777" s="70">
        <f t="shared" si="888"/>
        <v>22722.5</v>
      </c>
      <c r="R777" s="70">
        <f t="shared" si="889"/>
        <v>13527.84</v>
      </c>
      <c r="S777" s="387" t="s">
        <v>456</v>
      </c>
    </row>
    <row r="778" spans="1:19" s="107" customFormat="1" ht="282" customHeight="1" x14ac:dyDescent="0.25">
      <c r="A778" s="301"/>
      <c r="B778" s="80" t="s">
        <v>83</v>
      </c>
      <c r="C778" s="80"/>
      <c r="D778" s="81"/>
      <c r="E778" s="81"/>
      <c r="F778" s="81"/>
      <c r="G778" s="81"/>
      <c r="H778" s="82"/>
      <c r="I778" s="82"/>
      <c r="J778" s="73"/>
      <c r="K778" s="81"/>
      <c r="L778" s="39" t="e">
        <f t="shared" ref="L778:L781" si="909">K778/H778</f>
        <v>#DIV/0!</v>
      </c>
      <c r="M778" s="77"/>
      <c r="N778" s="81"/>
      <c r="O778" s="76">
        <f>H778-N778</f>
        <v>0</v>
      </c>
      <c r="P778" s="73"/>
      <c r="Q778" s="81">
        <f t="shared" si="888"/>
        <v>0</v>
      </c>
      <c r="R778" s="82">
        <f t="shared" si="889"/>
        <v>0</v>
      </c>
      <c r="S778" s="388"/>
    </row>
    <row r="779" spans="1:19" s="107" customFormat="1" ht="282" customHeight="1" x14ac:dyDescent="0.25">
      <c r="A779" s="301"/>
      <c r="B779" s="75" t="s">
        <v>457</v>
      </c>
      <c r="C779" s="75"/>
      <c r="D779" s="76"/>
      <c r="E779" s="76"/>
      <c r="F779" s="76"/>
      <c r="G779" s="76">
        <v>25862.27</v>
      </c>
      <c r="H779" s="76">
        <v>25862.27</v>
      </c>
      <c r="I779" s="76">
        <v>20498.89</v>
      </c>
      <c r="J779" s="73">
        <f>I779/H779</f>
        <v>0.79</v>
      </c>
      <c r="K779" s="76">
        <v>6971.05</v>
      </c>
      <c r="L779" s="78">
        <f t="shared" si="909"/>
        <v>0.27</v>
      </c>
      <c r="M779" s="77">
        <f>K779/I779</f>
        <v>0.34</v>
      </c>
      <c r="N779" s="76">
        <v>25862.27</v>
      </c>
      <c r="O779" s="76">
        <f>H779-N779</f>
        <v>0</v>
      </c>
      <c r="P779" s="73">
        <f>N779/H779</f>
        <v>1</v>
      </c>
      <c r="Q779" s="76">
        <f t="shared" si="888"/>
        <v>18891.22</v>
      </c>
      <c r="R779" s="76">
        <f t="shared" si="889"/>
        <v>13527.84</v>
      </c>
      <c r="S779" s="388"/>
    </row>
    <row r="780" spans="1:19" s="107" customFormat="1" ht="283.5" customHeight="1" x14ac:dyDescent="0.25">
      <c r="A780" s="301"/>
      <c r="B780" s="80" t="s">
        <v>19</v>
      </c>
      <c r="C780" s="80"/>
      <c r="D780" s="81"/>
      <c r="E780" s="81"/>
      <c r="F780" s="81"/>
      <c r="G780" s="81"/>
      <c r="H780" s="81"/>
      <c r="I780" s="81"/>
      <c r="J780" s="73"/>
      <c r="K780" s="81"/>
      <c r="L780" s="44" t="e">
        <f t="shared" si="909"/>
        <v>#DIV/0!</v>
      </c>
      <c r="M780" s="38"/>
      <c r="N780" s="41">
        <f>H780</f>
        <v>0</v>
      </c>
      <c r="O780" s="60">
        <f>H780-N780</f>
        <v>0</v>
      </c>
      <c r="P780" s="44" t="e">
        <f t="shared" si="893"/>
        <v>#DIV/0!</v>
      </c>
      <c r="Q780" s="81">
        <f t="shared" si="888"/>
        <v>0</v>
      </c>
      <c r="R780" s="81">
        <f t="shared" si="889"/>
        <v>0</v>
      </c>
      <c r="S780" s="388"/>
    </row>
    <row r="781" spans="1:19" s="107" customFormat="1" ht="351" customHeight="1" x14ac:dyDescent="0.25">
      <c r="A781" s="301"/>
      <c r="B781" s="75" t="s">
        <v>22</v>
      </c>
      <c r="C781" s="75"/>
      <c r="D781" s="76"/>
      <c r="E781" s="76"/>
      <c r="F781" s="76"/>
      <c r="G781" s="81">
        <v>3871.78</v>
      </c>
      <c r="H781" s="81">
        <v>3871.78</v>
      </c>
      <c r="I781" s="76">
        <v>40.5</v>
      </c>
      <c r="J781" s="73">
        <f>I781/H781</f>
        <v>0.01</v>
      </c>
      <c r="K781" s="76">
        <v>40.5</v>
      </c>
      <c r="L781" s="78">
        <f t="shared" si="909"/>
        <v>0.01</v>
      </c>
      <c r="M781" s="77">
        <f t="shared" ref="M781" si="910">K781/I781</f>
        <v>1</v>
      </c>
      <c r="N781" s="81">
        <f>H781</f>
        <v>3871.78</v>
      </c>
      <c r="O781" s="79">
        <f>H781-N781</f>
        <v>0</v>
      </c>
      <c r="P781" s="84">
        <f t="shared" si="893"/>
        <v>1</v>
      </c>
      <c r="Q781" s="76">
        <f t="shared" si="888"/>
        <v>3831.28</v>
      </c>
      <c r="R781" s="76">
        <f t="shared" si="889"/>
        <v>0</v>
      </c>
      <c r="S781" s="388"/>
    </row>
    <row r="782" spans="1:19" s="107" customFormat="1" ht="373.5" customHeight="1" x14ac:dyDescent="0.25">
      <c r="A782" s="302"/>
      <c r="B782" s="75" t="s">
        <v>11</v>
      </c>
      <c r="C782" s="75"/>
      <c r="D782" s="76"/>
      <c r="E782" s="76"/>
      <c r="F782" s="76"/>
      <c r="G782" s="76"/>
      <c r="H782" s="79"/>
      <c r="I782" s="79"/>
      <c r="J782" s="77"/>
      <c r="K782" s="76"/>
      <c r="L782" s="78"/>
      <c r="M782" s="77"/>
      <c r="N782" s="76"/>
      <c r="O782" s="79">
        <f t="shared" si="886"/>
        <v>0</v>
      </c>
      <c r="P782" s="39" t="e">
        <f t="shared" si="893"/>
        <v>#DIV/0!</v>
      </c>
      <c r="Q782" s="76">
        <f t="shared" si="888"/>
        <v>0</v>
      </c>
      <c r="R782" s="79">
        <f t="shared" si="889"/>
        <v>0</v>
      </c>
      <c r="S782" s="389"/>
    </row>
    <row r="783" spans="1:19" s="107" customFormat="1" ht="93" x14ac:dyDescent="0.25">
      <c r="A783" s="167" t="s">
        <v>329</v>
      </c>
      <c r="B783" s="295" t="s">
        <v>328</v>
      </c>
      <c r="C783" s="69" t="s">
        <v>17</v>
      </c>
      <c r="D783" s="70"/>
      <c r="E783" s="70"/>
      <c r="F783" s="70"/>
      <c r="G783" s="70">
        <f>SUM(G784:G788)</f>
        <v>95609.3</v>
      </c>
      <c r="H783" s="70">
        <f>SUM(H784:H788)</f>
        <v>95609.3</v>
      </c>
      <c r="I783" s="70">
        <f>SUM(I784:I788)</f>
        <v>77337.399999999994</v>
      </c>
      <c r="J783" s="73">
        <f>I783/H783</f>
        <v>0.81</v>
      </c>
      <c r="K783" s="70">
        <f>SUM(K784:K788)</f>
        <v>37204.449999999997</v>
      </c>
      <c r="L783" s="73">
        <f>K783/H783</f>
        <v>0.39</v>
      </c>
      <c r="M783" s="77">
        <f>K783/I783</f>
        <v>0.48</v>
      </c>
      <c r="N783" s="70">
        <f>SUM(N784:N788)</f>
        <v>95609.3</v>
      </c>
      <c r="O783" s="70">
        <f t="shared" ref="O783:O788" si="911">H783-N783</f>
        <v>0</v>
      </c>
      <c r="P783" s="73">
        <f t="shared" ref="P783" si="912">N783/H783</f>
        <v>1</v>
      </c>
      <c r="Q783" s="70">
        <f t="shared" ref="Q783:Q788" si="913">H783-K783</f>
        <v>58404.85</v>
      </c>
      <c r="R783" s="70">
        <f t="shared" ref="R783:R788" si="914">I783-K783</f>
        <v>40132.949999999997</v>
      </c>
      <c r="S783" s="372" t="s">
        <v>455</v>
      </c>
    </row>
    <row r="784" spans="1:19" s="107" customFormat="1" x14ac:dyDescent="0.25">
      <c r="A784" s="301"/>
      <c r="B784" s="80" t="s">
        <v>83</v>
      </c>
      <c r="C784" s="80"/>
      <c r="D784" s="81"/>
      <c r="E784" s="81"/>
      <c r="F784" s="81"/>
      <c r="G784" s="81"/>
      <c r="H784" s="82"/>
      <c r="I784" s="82"/>
      <c r="J784" s="38" t="e">
        <f>I784/H784</f>
        <v>#DIV/0!</v>
      </c>
      <c r="K784" s="41"/>
      <c r="L784" s="56"/>
      <c r="M784" s="38"/>
      <c r="N784" s="41"/>
      <c r="O784" s="332">
        <f t="shared" si="911"/>
        <v>0</v>
      </c>
      <c r="P784" s="56"/>
      <c r="Q784" s="81">
        <f t="shared" si="913"/>
        <v>0</v>
      </c>
      <c r="R784" s="82">
        <f t="shared" si="914"/>
        <v>0</v>
      </c>
      <c r="S784" s="373"/>
    </row>
    <row r="785" spans="1:19" s="107" customFormat="1" x14ac:dyDescent="0.25">
      <c r="A785" s="301"/>
      <c r="B785" s="75" t="s">
        <v>530</v>
      </c>
      <c r="C785" s="75"/>
      <c r="D785" s="76"/>
      <c r="E785" s="76"/>
      <c r="F785" s="76"/>
      <c r="G785" s="76">
        <v>90828.800000000003</v>
      </c>
      <c r="H785" s="76">
        <v>90828.800000000003</v>
      </c>
      <c r="I785" s="76">
        <v>77260.7</v>
      </c>
      <c r="J785" s="77">
        <f>I785/H785</f>
        <v>0.85</v>
      </c>
      <c r="K785" s="76">
        <v>37127.75</v>
      </c>
      <c r="L785" s="73">
        <f>K785/H785</f>
        <v>0.41</v>
      </c>
      <c r="M785" s="77">
        <f>K785/I785</f>
        <v>0.48</v>
      </c>
      <c r="N785" s="76">
        <v>90828.800000000003</v>
      </c>
      <c r="O785" s="76">
        <f t="shared" si="911"/>
        <v>0</v>
      </c>
      <c r="P785" s="73">
        <f>N785/H785</f>
        <v>1</v>
      </c>
      <c r="Q785" s="76">
        <f t="shared" si="913"/>
        <v>53701.05</v>
      </c>
      <c r="R785" s="76">
        <f t="shared" si="914"/>
        <v>40132.949999999997</v>
      </c>
      <c r="S785" s="373"/>
    </row>
    <row r="786" spans="1:19" s="107" customFormat="1" x14ac:dyDescent="0.25">
      <c r="A786" s="301"/>
      <c r="B786" s="80" t="s">
        <v>19</v>
      </c>
      <c r="C786" s="80"/>
      <c r="D786" s="81"/>
      <c r="E786" s="81"/>
      <c r="F786" s="81"/>
      <c r="G786" s="81">
        <v>4780.5</v>
      </c>
      <c r="H786" s="81">
        <v>4780.5</v>
      </c>
      <c r="I786" s="81">
        <v>76.7</v>
      </c>
      <c r="J786" s="77">
        <f>I786/H786</f>
        <v>0.02</v>
      </c>
      <c r="K786" s="81">
        <v>76.7</v>
      </c>
      <c r="L786" s="73">
        <f>K786/H786</f>
        <v>0.02</v>
      </c>
      <c r="M786" s="77">
        <f>K786/I786</f>
        <v>1</v>
      </c>
      <c r="N786" s="81">
        <f>H786</f>
        <v>4780.5</v>
      </c>
      <c r="O786" s="81">
        <f t="shared" si="911"/>
        <v>0</v>
      </c>
      <c r="P786" s="73">
        <f>N786/H786</f>
        <v>1</v>
      </c>
      <c r="Q786" s="81">
        <f t="shared" si="913"/>
        <v>4703.8</v>
      </c>
      <c r="R786" s="81">
        <f t="shared" si="914"/>
        <v>0</v>
      </c>
      <c r="S786" s="373"/>
    </row>
    <row r="787" spans="1:19" s="107" customFormat="1" x14ac:dyDescent="0.25">
      <c r="A787" s="301"/>
      <c r="B787" s="75" t="s">
        <v>22</v>
      </c>
      <c r="C787" s="75"/>
      <c r="D787" s="76"/>
      <c r="E787" s="76"/>
      <c r="F787" s="76"/>
      <c r="G787" s="81">
        <v>0</v>
      </c>
      <c r="H787" s="81"/>
      <c r="I787" s="76"/>
      <c r="J787" s="77"/>
      <c r="K787" s="76"/>
      <c r="L787" s="73"/>
      <c r="M787" s="77"/>
      <c r="N787" s="81">
        <f>H787</f>
        <v>0</v>
      </c>
      <c r="O787" s="76">
        <f t="shared" si="911"/>
        <v>0</v>
      </c>
      <c r="P787" s="73"/>
      <c r="Q787" s="76">
        <f t="shared" si="913"/>
        <v>0</v>
      </c>
      <c r="R787" s="76">
        <f t="shared" si="914"/>
        <v>0</v>
      </c>
      <c r="S787" s="373"/>
    </row>
    <row r="788" spans="1:19" s="107" customFormat="1" x14ac:dyDescent="0.25">
      <c r="A788" s="301"/>
      <c r="B788" s="75" t="s">
        <v>11</v>
      </c>
      <c r="C788" s="75"/>
      <c r="D788" s="76"/>
      <c r="E788" s="76"/>
      <c r="F788" s="76"/>
      <c r="G788" s="76"/>
      <c r="H788" s="79"/>
      <c r="I788" s="79"/>
      <c r="J788" s="77"/>
      <c r="K788" s="76"/>
      <c r="L788" s="78"/>
      <c r="M788" s="77"/>
      <c r="N788" s="76"/>
      <c r="O788" s="79">
        <f t="shared" si="911"/>
        <v>0</v>
      </c>
      <c r="P788" s="73"/>
      <c r="Q788" s="76">
        <f t="shared" si="913"/>
        <v>0</v>
      </c>
      <c r="R788" s="79">
        <f t="shared" si="914"/>
        <v>0</v>
      </c>
      <c r="S788" s="374"/>
    </row>
    <row r="789" spans="1:19" s="166" customFormat="1" ht="101.25" customHeight="1" x14ac:dyDescent="0.25">
      <c r="A789" s="137" t="s">
        <v>45</v>
      </c>
      <c r="B789" s="138" t="s">
        <v>316</v>
      </c>
      <c r="C789" s="138" t="s">
        <v>9</v>
      </c>
      <c r="D789" s="139" t="e">
        <f>D791+D792+D793+#REF!+D794</f>
        <v>#REF!</v>
      </c>
      <c r="E789" s="139" t="e">
        <f>E791+E792+E793+#REF!+E794</f>
        <v>#REF!</v>
      </c>
      <c r="F789" s="139" t="e">
        <f>F791+F792+F793+#REF!+F794</f>
        <v>#REF!</v>
      </c>
      <c r="G789" s="348"/>
      <c r="H789" s="348">
        <f>SUM(H790:H794)</f>
        <v>0</v>
      </c>
      <c r="I789" s="349">
        <f>SUM(I790:I794)</f>
        <v>0</v>
      </c>
      <c r="J789" s="350" t="e">
        <f>I789/H789</f>
        <v>#DIV/0!</v>
      </c>
      <c r="K789" s="348">
        <f>SUM(K790:K794)</f>
        <v>0</v>
      </c>
      <c r="L789" s="351" t="e">
        <f>K789/H789</f>
        <v>#DIV/0!</v>
      </c>
      <c r="M789" s="351" t="e">
        <f>K789/I789</f>
        <v>#DIV/0!</v>
      </c>
      <c r="N789" s="351"/>
      <c r="O789" s="351"/>
      <c r="P789" s="351" t="e">
        <f t="shared" ref="P789:P794" si="915">N789/L789</f>
        <v>#DIV/0!</v>
      </c>
      <c r="Q789" s="126"/>
      <c r="R789" s="126"/>
      <c r="S789" s="208" t="s">
        <v>60</v>
      </c>
    </row>
    <row r="790" spans="1:19" s="28" customFormat="1" x14ac:dyDescent="0.35">
      <c r="A790" s="210"/>
      <c r="B790" s="211" t="s">
        <v>10</v>
      </c>
      <c r="C790" s="145"/>
      <c r="D790" s="146"/>
      <c r="E790" s="146"/>
      <c r="F790" s="146"/>
      <c r="G790" s="352"/>
      <c r="H790" s="352"/>
      <c r="I790" s="352"/>
      <c r="J790" s="353" t="e">
        <f>I790/H790</f>
        <v>#DIV/0!</v>
      </c>
      <c r="K790" s="352"/>
      <c r="L790" s="354" t="e">
        <f>K790/H790</f>
        <v>#DIV/0!</v>
      </c>
      <c r="M790" s="354" t="e">
        <f>K790/I790</f>
        <v>#DIV/0!</v>
      </c>
      <c r="N790" s="354"/>
      <c r="O790" s="354"/>
      <c r="P790" s="354" t="e">
        <f t="shared" si="915"/>
        <v>#DIV/0!</v>
      </c>
      <c r="Q790" s="149"/>
      <c r="R790" s="149"/>
      <c r="S790" s="212"/>
    </row>
    <row r="791" spans="1:19" s="28" customFormat="1" x14ac:dyDescent="0.35">
      <c r="A791" s="210"/>
      <c r="B791" s="303" t="s">
        <v>8</v>
      </c>
      <c r="C791" s="178"/>
      <c r="D791" s="179" t="e">
        <f>#REF!+#REF!</f>
        <v>#REF!</v>
      </c>
      <c r="E791" s="179" t="e">
        <f>#REF!+#REF!</f>
        <v>#REF!</v>
      </c>
      <c r="F791" s="179" t="e">
        <f>#REF!+#REF!</f>
        <v>#REF!</v>
      </c>
      <c r="G791" s="355"/>
      <c r="H791" s="355"/>
      <c r="I791" s="355"/>
      <c r="J791" s="356" t="e">
        <f>I791/H791</f>
        <v>#DIV/0!</v>
      </c>
      <c r="K791" s="355"/>
      <c r="L791" s="357" t="e">
        <f>K791/H791</f>
        <v>#DIV/0!</v>
      </c>
      <c r="M791" s="357" t="e">
        <f>K791/I791</f>
        <v>#DIV/0!</v>
      </c>
      <c r="N791" s="357"/>
      <c r="O791" s="357"/>
      <c r="P791" s="357" t="e">
        <f t="shared" si="915"/>
        <v>#DIV/0!</v>
      </c>
      <c r="Q791" s="149"/>
      <c r="R791" s="149"/>
      <c r="S791" s="212"/>
    </row>
    <row r="792" spans="1:19" s="28" customFormat="1" x14ac:dyDescent="0.35">
      <c r="A792" s="210"/>
      <c r="B792" s="211" t="s">
        <v>19</v>
      </c>
      <c r="C792" s="145"/>
      <c r="D792" s="146"/>
      <c r="E792" s="146"/>
      <c r="F792" s="146"/>
      <c r="G792" s="352"/>
      <c r="H792" s="352"/>
      <c r="I792" s="352"/>
      <c r="J792" s="353" t="e">
        <f t="shared" ref="J792:J794" si="916">I792/H792</f>
        <v>#DIV/0!</v>
      </c>
      <c r="K792" s="352"/>
      <c r="L792" s="354" t="e">
        <f t="shared" ref="L792:L794" si="917">K792/H792</f>
        <v>#DIV/0!</v>
      </c>
      <c r="M792" s="354" t="e">
        <f t="shared" ref="M792:M798" si="918">K792/I792</f>
        <v>#DIV/0!</v>
      </c>
      <c r="N792" s="354"/>
      <c r="O792" s="354"/>
      <c r="P792" s="354" t="e">
        <f t="shared" si="915"/>
        <v>#DIV/0!</v>
      </c>
      <c r="Q792" s="149"/>
      <c r="R792" s="149"/>
      <c r="S792" s="212"/>
    </row>
    <row r="793" spans="1:19" s="28" customFormat="1" x14ac:dyDescent="0.35">
      <c r="A793" s="210"/>
      <c r="B793" s="145" t="s">
        <v>22</v>
      </c>
      <c r="C793" s="145"/>
      <c r="D793" s="146"/>
      <c r="E793" s="146"/>
      <c r="F793" s="146"/>
      <c r="G793" s="352"/>
      <c r="H793" s="352"/>
      <c r="I793" s="352"/>
      <c r="J793" s="353" t="e">
        <f t="shared" si="916"/>
        <v>#DIV/0!</v>
      </c>
      <c r="K793" s="352"/>
      <c r="L793" s="354" t="e">
        <f t="shared" si="917"/>
        <v>#DIV/0!</v>
      </c>
      <c r="M793" s="354" t="e">
        <f t="shared" si="918"/>
        <v>#DIV/0!</v>
      </c>
      <c r="N793" s="354"/>
      <c r="O793" s="354"/>
      <c r="P793" s="354" t="e">
        <f t="shared" si="915"/>
        <v>#DIV/0!</v>
      </c>
      <c r="Q793" s="149"/>
      <c r="R793" s="149"/>
      <c r="S793" s="212"/>
    </row>
    <row r="794" spans="1:19" s="28" customFormat="1" x14ac:dyDescent="0.35">
      <c r="A794" s="213"/>
      <c r="B794" s="211" t="s">
        <v>11</v>
      </c>
      <c r="C794" s="145"/>
      <c r="D794" s="146"/>
      <c r="E794" s="146"/>
      <c r="F794" s="146"/>
      <c r="G794" s="352"/>
      <c r="H794" s="352"/>
      <c r="I794" s="352"/>
      <c r="J794" s="353" t="e">
        <f t="shared" si="916"/>
        <v>#DIV/0!</v>
      </c>
      <c r="K794" s="352"/>
      <c r="L794" s="354" t="e">
        <f t="shared" si="917"/>
        <v>#DIV/0!</v>
      </c>
      <c r="M794" s="354" t="e">
        <f t="shared" si="918"/>
        <v>#DIV/0!</v>
      </c>
      <c r="N794" s="354"/>
      <c r="O794" s="354"/>
      <c r="P794" s="354" t="e">
        <f t="shared" si="915"/>
        <v>#DIV/0!</v>
      </c>
      <c r="Q794" s="84"/>
      <c r="R794" s="84"/>
      <c r="S794" s="80"/>
    </row>
    <row r="795" spans="1:19" s="28" customFormat="1" ht="243.75" customHeight="1" x14ac:dyDescent="0.35">
      <c r="A795" s="137" t="s">
        <v>46</v>
      </c>
      <c r="B795" s="138" t="s">
        <v>317</v>
      </c>
      <c r="C795" s="138" t="s">
        <v>9</v>
      </c>
      <c r="D795" s="139" t="e">
        <f t="shared" ref="D795:I795" si="919">SUM(D796:D800)</f>
        <v>#REF!</v>
      </c>
      <c r="E795" s="139" t="e">
        <f t="shared" si="919"/>
        <v>#REF!</v>
      </c>
      <c r="F795" s="139" t="e">
        <f t="shared" si="919"/>
        <v>#REF!</v>
      </c>
      <c r="G795" s="139">
        <f t="shared" si="919"/>
        <v>540732.19999999995</v>
      </c>
      <c r="H795" s="139">
        <f t="shared" si="919"/>
        <v>617623.30000000005</v>
      </c>
      <c r="I795" s="139">
        <f t="shared" si="919"/>
        <v>17953.02</v>
      </c>
      <c r="J795" s="214">
        <f>I795/H795</f>
        <v>2.9000000000000001E-2</v>
      </c>
      <c r="K795" s="139">
        <f>SUM(K796:K800)</f>
        <v>17953.02</v>
      </c>
      <c r="L795" s="214">
        <f>K795/H795</f>
        <v>2.9000000000000001E-2</v>
      </c>
      <c r="M795" s="140">
        <f t="shared" si="918"/>
        <v>1</v>
      </c>
      <c r="N795" s="139">
        <f t="shared" ref="N795" si="920">SUM(N796:N800)</f>
        <v>615739.42000000004</v>
      </c>
      <c r="O795" s="139">
        <f t="shared" ref="O795:O800" si="921">H795-N795</f>
        <v>1883.88</v>
      </c>
      <c r="P795" s="140">
        <f t="shared" ref="P795:P806" si="922">N795/H795</f>
        <v>1</v>
      </c>
      <c r="Q795" s="304"/>
      <c r="R795" s="304"/>
      <c r="S795" s="386" t="s">
        <v>409</v>
      </c>
    </row>
    <row r="796" spans="1:19" s="28" customFormat="1" ht="33" customHeight="1" x14ac:dyDescent="0.35">
      <c r="A796" s="143"/>
      <c r="B796" s="145" t="s">
        <v>10</v>
      </c>
      <c r="C796" s="145"/>
      <c r="D796" s="146">
        <f>D802</f>
        <v>0</v>
      </c>
      <c r="E796" s="146">
        <f t="shared" ref="E796:I796" si="923">E802</f>
        <v>0</v>
      </c>
      <c r="F796" s="146">
        <f t="shared" si="923"/>
        <v>0</v>
      </c>
      <c r="G796" s="352">
        <f>G802</f>
        <v>0</v>
      </c>
      <c r="H796" s="352">
        <f t="shared" si="923"/>
        <v>0</v>
      </c>
      <c r="I796" s="352">
        <f t="shared" si="923"/>
        <v>0</v>
      </c>
      <c r="J796" s="353"/>
      <c r="K796" s="352">
        <f t="shared" ref="K796:K797" si="924">K802</f>
        <v>0</v>
      </c>
      <c r="L796" s="353"/>
      <c r="M796" s="353" t="e">
        <f t="shared" si="918"/>
        <v>#DIV/0!</v>
      </c>
      <c r="N796" s="352">
        <f t="shared" ref="N796" si="925">N802</f>
        <v>0</v>
      </c>
      <c r="O796" s="352">
        <f t="shared" si="921"/>
        <v>0</v>
      </c>
      <c r="P796" s="353" t="e">
        <f t="shared" si="922"/>
        <v>#DIV/0!</v>
      </c>
      <c r="Q796" s="305"/>
      <c r="R796" s="305"/>
      <c r="S796" s="386"/>
    </row>
    <row r="797" spans="1:19" s="28" customFormat="1" ht="33" customHeight="1" x14ac:dyDescent="0.35">
      <c r="A797" s="143"/>
      <c r="B797" s="145" t="s">
        <v>8</v>
      </c>
      <c r="C797" s="145"/>
      <c r="D797" s="146">
        <f t="shared" ref="D797:I797" si="926">D803</f>
        <v>0</v>
      </c>
      <c r="E797" s="146">
        <f t="shared" si="926"/>
        <v>0</v>
      </c>
      <c r="F797" s="146">
        <f t="shared" si="926"/>
        <v>0</v>
      </c>
      <c r="G797" s="146">
        <f t="shared" si="926"/>
        <v>506592.5</v>
      </c>
      <c r="H797" s="146">
        <f t="shared" si="926"/>
        <v>583483.6</v>
      </c>
      <c r="I797" s="146">
        <f t="shared" si="926"/>
        <v>17055.37</v>
      </c>
      <c r="J797" s="147">
        <f t="shared" ref="J797:J804" si="927">I797/H797</f>
        <v>0.03</v>
      </c>
      <c r="K797" s="146">
        <f t="shared" si="924"/>
        <v>17055.37</v>
      </c>
      <c r="L797" s="147">
        <f>K797/H797</f>
        <v>0.03</v>
      </c>
      <c r="M797" s="147">
        <f t="shared" si="918"/>
        <v>1</v>
      </c>
      <c r="N797" s="146">
        <f t="shared" ref="N797" si="928">N803</f>
        <v>581701.99</v>
      </c>
      <c r="O797" s="146">
        <f t="shared" si="921"/>
        <v>1781.61</v>
      </c>
      <c r="P797" s="147">
        <f t="shared" si="922"/>
        <v>1</v>
      </c>
      <c r="Q797" s="305"/>
      <c r="R797" s="305"/>
      <c r="S797" s="386"/>
    </row>
    <row r="798" spans="1:19" s="28" customFormat="1" ht="33" customHeight="1" x14ac:dyDescent="0.35">
      <c r="A798" s="143"/>
      <c r="B798" s="145" t="s">
        <v>19</v>
      </c>
      <c r="C798" s="145"/>
      <c r="D798" s="146">
        <f t="shared" ref="D798:H798" si="929">D804</f>
        <v>0</v>
      </c>
      <c r="E798" s="146">
        <f t="shared" si="929"/>
        <v>0</v>
      </c>
      <c r="F798" s="146">
        <f t="shared" si="929"/>
        <v>0</v>
      </c>
      <c r="G798" s="146">
        <f t="shared" si="929"/>
        <v>30090.02</v>
      </c>
      <c r="H798" s="146">
        <f t="shared" si="929"/>
        <v>30090.02</v>
      </c>
      <c r="I798" s="146">
        <f t="shared" ref="I798:K798" si="930">I804</f>
        <v>897.65</v>
      </c>
      <c r="J798" s="147">
        <f t="shared" si="927"/>
        <v>0.03</v>
      </c>
      <c r="K798" s="146">
        <f t="shared" si="930"/>
        <v>897.65</v>
      </c>
      <c r="L798" s="147">
        <f t="shared" ref="L798:L800" si="931">K798/H798</f>
        <v>0.03</v>
      </c>
      <c r="M798" s="147">
        <f t="shared" si="918"/>
        <v>1</v>
      </c>
      <c r="N798" s="146">
        <f t="shared" ref="N798" si="932">N804</f>
        <v>29987.75</v>
      </c>
      <c r="O798" s="146">
        <f t="shared" si="921"/>
        <v>102.27</v>
      </c>
      <c r="P798" s="147">
        <f t="shared" si="922"/>
        <v>1</v>
      </c>
      <c r="Q798" s="305"/>
      <c r="R798" s="305"/>
      <c r="S798" s="386"/>
    </row>
    <row r="799" spans="1:19" s="28" customFormat="1" ht="33" customHeight="1" x14ac:dyDescent="0.35">
      <c r="A799" s="143"/>
      <c r="B799" s="145" t="s">
        <v>22</v>
      </c>
      <c r="C799" s="145"/>
      <c r="D799" s="146">
        <f t="shared" ref="D799:I799" si="933">D805</f>
        <v>0</v>
      </c>
      <c r="E799" s="146">
        <f t="shared" si="933"/>
        <v>0</v>
      </c>
      <c r="F799" s="146">
        <f t="shared" si="933"/>
        <v>0</v>
      </c>
      <c r="G799" s="146">
        <f t="shared" si="933"/>
        <v>4049.68</v>
      </c>
      <c r="H799" s="146">
        <f t="shared" si="933"/>
        <v>4049.68</v>
      </c>
      <c r="I799" s="146">
        <f t="shared" si="933"/>
        <v>0</v>
      </c>
      <c r="J799" s="55">
        <f t="shared" si="927"/>
        <v>0</v>
      </c>
      <c r="K799" s="61">
        <f t="shared" ref="K799" si="934">K805</f>
        <v>0</v>
      </c>
      <c r="L799" s="353">
        <f t="shared" si="931"/>
        <v>0</v>
      </c>
      <c r="M799" s="353" t="e">
        <f t="shared" ref="M799:M800" si="935">K799/I799</f>
        <v>#DIV/0!</v>
      </c>
      <c r="N799" s="146">
        <f t="shared" ref="N799" si="936">N805</f>
        <v>4049.68</v>
      </c>
      <c r="O799" s="146">
        <f t="shared" si="921"/>
        <v>0</v>
      </c>
      <c r="P799" s="147">
        <f t="shared" si="922"/>
        <v>1</v>
      </c>
      <c r="Q799" s="305"/>
      <c r="R799" s="305"/>
      <c r="S799" s="386"/>
    </row>
    <row r="800" spans="1:19" s="28" customFormat="1" ht="76.5" customHeight="1" x14ac:dyDescent="0.35">
      <c r="A800" s="151"/>
      <c r="B800" s="145" t="s">
        <v>11</v>
      </c>
      <c r="C800" s="145"/>
      <c r="D800" s="146" t="e">
        <f>#REF!</f>
        <v>#REF!</v>
      </c>
      <c r="E800" s="146" t="e">
        <f>#REF!</f>
        <v>#REF!</v>
      </c>
      <c r="F800" s="146" t="e">
        <f>#REF!</f>
        <v>#REF!</v>
      </c>
      <c r="G800" s="352">
        <f t="shared" ref="G800:I800" si="937">G806</f>
        <v>0</v>
      </c>
      <c r="H800" s="352">
        <f t="shared" si="937"/>
        <v>0</v>
      </c>
      <c r="I800" s="352">
        <f t="shared" si="937"/>
        <v>0</v>
      </c>
      <c r="J800" s="353" t="e">
        <f t="shared" si="927"/>
        <v>#DIV/0!</v>
      </c>
      <c r="K800" s="352">
        <f t="shared" ref="K800" si="938">K806</f>
        <v>0</v>
      </c>
      <c r="L800" s="353" t="e">
        <f t="shared" si="931"/>
        <v>#DIV/0!</v>
      </c>
      <c r="M800" s="353" t="e">
        <f t="shared" si="935"/>
        <v>#DIV/0!</v>
      </c>
      <c r="N800" s="352">
        <f t="shared" ref="N800" si="939">N806</f>
        <v>0</v>
      </c>
      <c r="O800" s="352">
        <f t="shared" si="921"/>
        <v>0</v>
      </c>
      <c r="P800" s="353" t="e">
        <f t="shared" si="922"/>
        <v>#DIV/0!</v>
      </c>
      <c r="Q800" s="305"/>
      <c r="R800" s="305"/>
      <c r="S800" s="386"/>
    </row>
    <row r="801" spans="1:19" s="28" customFormat="1" ht="46.5" x14ac:dyDescent="0.35">
      <c r="A801" s="152" t="s">
        <v>164</v>
      </c>
      <c r="B801" s="181" t="s">
        <v>32</v>
      </c>
      <c r="C801" s="154" t="s">
        <v>2</v>
      </c>
      <c r="D801" s="155">
        <f t="shared" ref="D801:H801" si="940">SUM(D802:D806)</f>
        <v>0</v>
      </c>
      <c r="E801" s="155">
        <f t="shared" si="940"/>
        <v>0</v>
      </c>
      <c r="F801" s="155">
        <f t="shared" si="940"/>
        <v>0</v>
      </c>
      <c r="G801" s="155">
        <f>SUM(G802:G806)</f>
        <v>540732.19999999995</v>
      </c>
      <c r="H801" s="155">
        <f t="shared" si="940"/>
        <v>617623.30000000005</v>
      </c>
      <c r="I801" s="155">
        <f t="shared" ref="I801" si="941">SUM(I802:I806)</f>
        <v>17953.02</v>
      </c>
      <c r="J801" s="202">
        <f t="shared" si="927"/>
        <v>2.9000000000000001E-2</v>
      </c>
      <c r="K801" s="155">
        <f t="shared" ref="K801" si="942">SUM(K802:K806)</f>
        <v>17953.02</v>
      </c>
      <c r="L801" s="222">
        <f>K801/H801</f>
        <v>2.9000000000000001E-2</v>
      </c>
      <c r="M801" s="156">
        <f>K801/I801</f>
        <v>1</v>
      </c>
      <c r="N801" s="155">
        <f t="shared" ref="N801:O801" si="943">SUM(N802:N806)</f>
        <v>615739.42000000004</v>
      </c>
      <c r="O801" s="155">
        <f t="shared" si="943"/>
        <v>0</v>
      </c>
      <c r="P801" s="182">
        <f t="shared" si="922"/>
        <v>1</v>
      </c>
      <c r="Q801" s="173"/>
      <c r="R801" s="173"/>
      <c r="S801" s="288"/>
    </row>
    <row r="802" spans="1:19" s="28" customFormat="1" ht="34.5" customHeight="1" x14ac:dyDescent="0.35">
      <c r="A802" s="159"/>
      <c r="B802" s="75" t="s">
        <v>10</v>
      </c>
      <c r="C802" s="75"/>
      <c r="D802" s="76"/>
      <c r="E802" s="76"/>
      <c r="F802" s="76"/>
      <c r="G802" s="76">
        <f t="shared" ref="G802:I806" si="944">G808+G820</f>
        <v>0</v>
      </c>
      <c r="H802" s="76">
        <f t="shared" si="944"/>
        <v>0</v>
      </c>
      <c r="I802" s="76">
        <f t="shared" si="944"/>
        <v>0</v>
      </c>
      <c r="J802" s="38" t="e">
        <f>I802/H802</f>
        <v>#DIV/0!</v>
      </c>
      <c r="K802" s="37">
        <f>K808+K820</f>
        <v>0</v>
      </c>
      <c r="L802" s="39" t="e">
        <f>K802/H802</f>
        <v>#DIV/0!</v>
      </c>
      <c r="M802" s="39" t="e">
        <f t="shared" ref="M802:M806" si="945">K802/I802</f>
        <v>#DIV/0!</v>
      </c>
      <c r="N802" s="37">
        <f>N808+N820</f>
        <v>0</v>
      </c>
      <c r="O802" s="37">
        <f t="shared" ref="O802" si="946">O808</f>
        <v>0</v>
      </c>
      <c r="P802" s="39" t="e">
        <f t="shared" si="922"/>
        <v>#DIV/0!</v>
      </c>
      <c r="Q802" s="149"/>
      <c r="R802" s="149"/>
      <c r="S802" s="289"/>
    </row>
    <row r="803" spans="1:19" s="28" customFormat="1" ht="34.5" customHeight="1" x14ac:dyDescent="0.35">
      <c r="A803" s="159"/>
      <c r="B803" s="75" t="s">
        <v>8</v>
      </c>
      <c r="C803" s="75"/>
      <c r="D803" s="76"/>
      <c r="E803" s="76"/>
      <c r="F803" s="76"/>
      <c r="G803" s="76">
        <f>G809+G821</f>
        <v>506592.5</v>
      </c>
      <c r="H803" s="76">
        <f>H809+H821</f>
        <v>583483.6</v>
      </c>
      <c r="I803" s="76">
        <f t="shared" si="944"/>
        <v>17055.37</v>
      </c>
      <c r="J803" s="77">
        <f t="shared" si="927"/>
        <v>0.03</v>
      </c>
      <c r="K803" s="76">
        <f>K809+K821</f>
        <v>17055.37</v>
      </c>
      <c r="L803" s="78">
        <f t="shared" ref="L803:L806" si="947">K803/H803</f>
        <v>0.03</v>
      </c>
      <c r="M803" s="78">
        <f t="shared" si="945"/>
        <v>1</v>
      </c>
      <c r="N803" s="76">
        <f>N809+N821</f>
        <v>581701.99</v>
      </c>
      <c r="O803" s="76">
        <f t="shared" ref="O803" si="948">O809</f>
        <v>0</v>
      </c>
      <c r="P803" s="78">
        <f t="shared" si="922"/>
        <v>1</v>
      </c>
      <c r="Q803" s="149"/>
      <c r="R803" s="149"/>
      <c r="S803" s="289"/>
    </row>
    <row r="804" spans="1:19" s="28" customFormat="1" ht="34.5" customHeight="1" x14ac:dyDescent="0.35">
      <c r="A804" s="159"/>
      <c r="B804" s="75" t="s">
        <v>19</v>
      </c>
      <c r="C804" s="75"/>
      <c r="D804" s="76"/>
      <c r="E804" s="76"/>
      <c r="F804" s="76"/>
      <c r="G804" s="76">
        <f>G810+G822</f>
        <v>30090.02</v>
      </c>
      <c r="H804" s="76">
        <f>H810+H822</f>
        <v>30090.02</v>
      </c>
      <c r="I804" s="76">
        <f t="shared" si="944"/>
        <v>897.65</v>
      </c>
      <c r="J804" s="77">
        <f t="shared" si="927"/>
        <v>0.03</v>
      </c>
      <c r="K804" s="76">
        <f>K810+K822</f>
        <v>897.65</v>
      </c>
      <c r="L804" s="78">
        <f t="shared" si="947"/>
        <v>0.03</v>
      </c>
      <c r="M804" s="78">
        <f t="shared" si="945"/>
        <v>1</v>
      </c>
      <c r="N804" s="76">
        <f>N810+N822</f>
        <v>29987.75</v>
      </c>
      <c r="O804" s="76">
        <f t="shared" ref="O804" si="949">O810</f>
        <v>0</v>
      </c>
      <c r="P804" s="78">
        <f t="shared" si="922"/>
        <v>1</v>
      </c>
      <c r="Q804" s="149"/>
      <c r="R804" s="149"/>
      <c r="S804" s="289"/>
    </row>
    <row r="805" spans="1:19" s="28" customFormat="1" ht="34.5" customHeight="1" x14ac:dyDescent="0.35">
      <c r="A805" s="159"/>
      <c r="B805" s="80" t="s">
        <v>22</v>
      </c>
      <c r="C805" s="80"/>
      <c r="D805" s="81"/>
      <c r="E805" s="81"/>
      <c r="F805" s="81"/>
      <c r="G805" s="76">
        <f>G811</f>
        <v>4049.68</v>
      </c>
      <c r="H805" s="76">
        <f>H811</f>
        <v>4049.68</v>
      </c>
      <c r="I805" s="76">
        <f t="shared" si="944"/>
        <v>0</v>
      </c>
      <c r="J805" s="77">
        <f t="shared" ref="J805:J806" si="950">I805/H805</f>
        <v>0</v>
      </c>
      <c r="K805" s="76">
        <f>K811+K823</f>
        <v>0</v>
      </c>
      <c r="L805" s="78">
        <f t="shared" si="947"/>
        <v>0</v>
      </c>
      <c r="M805" s="39" t="e">
        <f t="shared" si="945"/>
        <v>#DIV/0!</v>
      </c>
      <c r="N805" s="76">
        <f>N811+N823</f>
        <v>4049.68</v>
      </c>
      <c r="O805" s="76">
        <f t="shared" ref="O805" si="951">O811</f>
        <v>0</v>
      </c>
      <c r="P805" s="78">
        <f t="shared" si="922"/>
        <v>1</v>
      </c>
      <c r="Q805" s="149"/>
      <c r="R805" s="149"/>
      <c r="S805" s="289"/>
    </row>
    <row r="806" spans="1:19" s="28" customFormat="1" ht="60.75" customHeight="1" x14ac:dyDescent="0.35">
      <c r="A806" s="162"/>
      <c r="B806" s="75" t="s">
        <v>11</v>
      </c>
      <c r="C806" s="75"/>
      <c r="D806" s="76"/>
      <c r="E806" s="76"/>
      <c r="F806" s="76"/>
      <c r="G806" s="76">
        <f t="shared" si="944"/>
        <v>0</v>
      </c>
      <c r="H806" s="76">
        <f t="shared" si="944"/>
        <v>0</v>
      </c>
      <c r="I806" s="76">
        <f t="shared" si="944"/>
        <v>0</v>
      </c>
      <c r="J806" s="38" t="e">
        <f t="shared" si="950"/>
        <v>#DIV/0!</v>
      </c>
      <c r="K806" s="37">
        <f>K812+K824</f>
        <v>0</v>
      </c>
      <c r="L806" s="39" t="e">
        <f t="shared" si="947"/>
        <v>#DIV/0!</v>
      </c>
      <c r="M806" s="39" t="e">
        <f t="shared" si="945"/>
        <v>#DIV/0!</v>
      </c>
      <c r="N806" s="37">
        <f>N812+N824</f>
        <v>0</v>
      </c>
      <c r="O806" s="37">
        <f t="shared" ref="O806" si="952">O812</f>
        <v>0</v>
      </c>
      <c r="P806" s="39" t="e">
        <f t="shared" si="922"/>
        <v>#DIV/0!</v>
      </c>
      <c r="Q806" s="84"/>
      <c r="R806" s="84"/>
      <c r="S806" s="290"/>
    </row>
    <row r="807" spans="1:19" s="28" customFormat="1" ht="103.5" customHeight="1" x14ac:dyDescent="0.35">
      <c r="A807" s="256" t="s">
        <v>165</v>
      </c>
      <c r="B807" s="69" t="s">
        <v>203</v>
      </c>
      <c r="C807" s="69" t="s">
        <v>17</v>
      </c>
      <c r="D807" s="70">
        <f t="shared" ref="D807:H807" si="953">SUM(D808:D812)</f>
        <v>0</v>
      </c>
      <c r="E807" s="70">
        <f t="shared" si="953"/>
        <v>0</v>
      </c>
      <c r="F807" s="70">
        <f t="shared" si="953"/>
        <v>0</v>
      </c>
      <c r="G807" s="70">
        <f t="shared" si="953"/>
        <v>281102.28000000003</v>
      </c>
      <c r="H807" s="70">
        <f t="shared" si="953"/>
        <v>357993.38</v>
      </c>
      <c r="I807" s="70">
        <f t="shared" ref="I807" si="954">SUM(I808:I812)</f>
        <v>17953.02</v>
      </c>
      <c r="J807" s="73">
        <f>I807/H807</f>
        <v>0.05</v>
      </c>
      <c r="K807" s="70">
        <f>SUM(K808:K812)</f>
        <v>17953.02</v>
      </c>
      <c r="L807" s="73">
        <f>K807/H807</f>
        <v>0.05</v>
      </c>
      <c r="M807" s="73">
        <f>K807/I807</f>
        <v>1</v>
      </c>
      <c r="N807" s="70">
        <f t="shared" ref="N807:O807" si="955">SUM(N808:N812)</f>
        <v>357993.38</v>
      </c>
      <c r="O807" s="70">
        <f t="shared" si="955"/>
        <v>0</v>
      </c>
      <c r="P807" s="73">
        <f t="shared" ref="P807:P824" si="956">N807/H807</f>
        <v>1</v>
      </c>
      <c r="Q807" s="73"/>
      <c r="R807" s="73"/>
      <c r="S807" s="386"/>
    </row>
    <row r="808" spans="1:19" s="28" customFormat="1" ht="30.75" customHeight="1" x14ac:dyDescent="0.35">
      <c r="A808" s="257"/>
      <c r="B808" s="163" t="s">
        <v>10</v>
      </c>
      <c r="C808" s="80"/>
      <c r="D808" s="81"/>
      <c r="E808" s="81"/>
      <c r="F808" s="82"/>
      <c r="G808" s="81">
        <f>G814</f>
        <v>0</v>
      </c>
      <c r="H808" s="81">
        <f t="shared" ref="H808:I808" si="957">H814</f>
        <v>0</v>
      </c>
      <c r="I808" s="81">
        <f t="shared" si="957"/>
        <v>0</v>
      </c>
      <c r="J808" s="44" t="e">
        <f t="shared" ref="J808:J812" si="958">I808/H808</f>
        <v>#DIV/0!</v>
      </c>
      <c r="K808" s="41">
        <f t="shared" ref="K808" si="959">K814</f>
        <v>0</v>
      </c>
      <c r="L808" s="44" t="e">
        <f>K808/H808</f>
        <v>#DIV/0!</v>
      </c>
      <c r="M808" s="41"/>
      <c r="N808" s="41">
        <f t="shared" ref="N808:O808" si="960">N814</f>
        <v>0</v>
      </c>
      <c r="O808" s="41">
        <f t="shared" si="960"/>
        <v>0</v>
      </c>
      <c r="P808" s="44" t="e">
        <f t="shared" si="956"/>
        <v>#DIV/0!</v>
      </c>
      <c r="Q808" s="84"/>
      <c r="R808" s="84"/>
      <c r="S808" s="386"/>
    </row>
    <row r="809" spans="1:19" s="28" customFormat="1" ht="30.75" customHeight="1" x14ac:dyDescent="0.35">
      <c r="A809" s="257"/>
      <c r="B809" s="163" t="s">
        <v>8</v>
      </c>
      <c r="C809" s="80"/>
      <c r="D809" s="81"/>
      <c r="E809" s="81"/>
      <c r="F809" s="81"/>
      <c r="G809" s="81">
        <f>G815</f>
        <v>263200</v>
      </c>
      <c r="H809" s="81">
        <f>H815</f>
        <v>340091.1</v>
      </c>
      <c r="I809" s="81">
        <f t="shared" ref="I809" si="961">I815</f>
        <v>17055.37</v>
      </c>
      <c r="J809" s="84">
        <f t="shared" si="958"/>
        <v>0.05</v>
      </c>
      <c r="K809" s="81">
        <f t="shared" ref="K809" si="962">K815</f>
        <v>17055.37</v>
      </c>
      <c r="L809" s="84">
        <f>K809/H809</f>
        <v>0.05</v>
      </c>
      <c r="M809" s="78">
        <f t="shared" ref="M809:M812" si="963">K809/I809</f>
        <v>1</v>
      </c>
      <c r="N809" s="81">
        <f t="shared" ref="N809:O809" si="964">N815</f>
        <v>340091.1</v>
      </c>
      <c r="O809" s="81">
        <f t="shared" si="964"/>
        <v>0</v>
      </c>
      <c r="P809" s="84">
        <f t="shared" si="956"/>
        <v>1</v>
      </c>
      <c r="Q809" s="84"/>
      <c r="R809" s="84"/>
      <c r="S809" s="386"/>
    </row>
    <row r="810" spans="1:19" s="28" customFormat="1" ht="30.75" customHeight="1" x14ac:dyDescent="0.35">
      <c r="A810" s="257"/>
      <c r="B810" s="226" t="s">
        <v>19</v>
      </c>
      <c r="C810" s="75"/>
      <c r="D810" s="76"/>
      <c r="E810" s="76"/>
      <c r="F810" s="76"/>
      <c r="G810" s="81">
        <f>G816</f>
        <v>13852.6</v>
      </c>
      <c r="H810" s="81">
        <f>H816</f>
        <v>13852.6</v>
      </c>
      <c r="I810" s="81">
        <f t="shared" ref="I810" si="965">I816</f>
        <v>897.65</v>
      </c>
      <c r="J810" s="84">
        <f t="shared" si="958"/>
        <v>0.06</v>
      </c>
      <c r="K810" s="81">
        <f t="shared" ref="K810" si="966">K816</f>
        <v>897.65</v>
      </c>
      <c r="L810" s="84">
        <f t="shared" ref="L810:L812" si="967">K810/H810</f>
        <v>0.06</v>
      </c>
      <c r="M810" s="78">
        <f t="shared" si="963"/>
        <v>1</v>
      </c>
      <c r="N810" s="81">
        <f t="shared" ref="N810:O810" si="968">N816</f>
        <v>13852.6</v>
      </c>
      <c r="O810" s="81">
        <f t="shared" si="968"/>
        <v>0</v>
      </c>
      <c r="P810" s="84">
        <f t="shared" si="956"/>
        <v>1</v>
      </c>
      <c r="Q810" s="84"/>
      <c r="R810" s="84"/>
      <c r="S810" s="386"/>
    </row>
    <row r="811" spans="1:19" s="28" customFormat="1" ht="30.75" customHeight="1" x14ac:dyDescent="0.35">
      <c r="A811" s="257"/>
      <c r="B811" s="75" t="s">
        <v>22</v>
      </c>
      <c r="C811" s="75"/>
      <c r="D811" s="76"/>
      <c r="E811" s="76"/>
      <c r="F811" s="79"/>
      <c r="G811" s="81">
        <f>G817</f>
        <v>4049.68</v>
      </c>
      <c r="H811" s="81">
        <f>H817</f>
        <v>4049.68</v>
      </c>
      <c r="I811" s="81">
        <f t="shared" ref="I811" si="969">I817</f>
        <v>0</v>
      </c>
      <c r="J811" s="84">
        <f t="shared" si="958"/>
        <v>0</v>
      </c>
      <c r="K811" s="81">
        <f t="shared" ref="K811" si="970">K817</f>
        <v>0</v>
      </c>
      <c r="L811" s="84">
        <f t="shared" si="967"/>
        <v>0</v>
      </c>
      <c r="M811" s="39" t="e">
        <f t="shared" si="963"/>
        <v>#DIV/0!</v>
      </c>
      <c r="N811" s="81">
        <f t="shared" ref="N811:O811" si="971">N817</f>
        <v>4049.68</v>
      </c>
      <c r="O811" s="81">
        <f t="shared" si="971"/>
        <v>0</v>
      </c>
      <c r="P811" s="84">
        <f t="shared" si="956"/>
        <v>1</v>
      </c>
      <c r="Q811" s="84"/>
      <c r="R811" s="84"/>
      <c r="S811" s="386"/>
    </row>
    <row r="812" spans="1:19" s="28" customFormat="1" ht="30.75" customHeight="1" x14ac:dyDescent="0.35">
      <c r="A812" s="258"/>
      <c r="B812" s="226" t="s">
        <v>11</v>
      </c>
      <c r="C812" s="75"/>
      <c r="D812" s="76"/>
      <c r="E812" s="76"/>
      <c r="F812" s="79"/>
      <c r="G812" s="81">
        <f t="shared" ref="G812:I812" si="972">G818</f>
        <v>0</v>
      </c>
      <c r="H812" s="81">
        <f t="shared" si="972"/>
        <v>0</v>
      </c>
      <c r="I812" s="81">
        <f t="shared" si="972"/>
        <v>0</v>
      </c>
      <c r="J812" s="44" t="e">
        <f t="shared" si="958"/>
        <v>#DIV/0!</v>
      </c>
      <c r="K812" s="41">
        <f t="shared" ref="K812" si="973">K818</f>
        <v>0</v>
      </c>
      <c r="L812" s="44" t="e">
        <f t="shared" si="967"/>
        <v>#DIV/0!</v>
      </c>
      <c r="M812" s="39" t="e">
        <f t="shared" si="963"/>
        <v>#DIV/0!</v>
      </c>
      <c r="N812" s="41">
        <f t="shared" ref="N812:O812" si="974">N818</f>
        <v>0</v>
      </c>
      <c r="O812" s="41">
        <f t="shared" si="974"/>
        <v>0</v>
      </c>
      <c r="P812" s="44" t="e">
        <f t="shared" si="956"/>
        <v>#DIV/0!</v>
      </c>
      <c r="Q812" s="84"/>
      <c r="R812" s="84"/>
      <c r="S812" s="386"/>
    </row>
    <row r="813" spans="1:19" s="28" customFormat="1" ht="139.5" x14ac:dyDescent="0.35">
      <c r="A813" s="393" t="s">
        <v>399</v>
      </c>
      <c r="B813" s="227" t="s">
        <v>205</v>
      </c>
      <c r="C813" s="75"/>
      <c r="D813" s="76"/>
      <c r="E813" s="76"/>
      <c r="F813" s="79"/>
      <c r="G813" s="76">
        <f>SUM(G814:G818)</f>
        <v>281102.28000000003</v>
      </c>
      <c r="H813" s="76">
        <f>SUM(H814:H818)</f>
        <v>357993.38</v>
      </c>
      <c r="I813" s="76">
        <f>SUM(I814:I818)</f>
        <v>17953.02</v>
      </c>
      <c r="J813" s="184">
        <f t="shared" ref="J813:J815" si="975">I813/H813</f>
        <v>0.05</v>
      </c>
      <c r="K813" s="76">
        <f>SUM(K814:K818)</f>
        <v>17953.02</v>
      </c>
      <c r="L813" s="78">
        <f t="shared" ref="L813:L815" si="976">K813/H813</f>
        <v>0.05</v>
      </c>
      <c r="M813" s="78">
        <f t="shared" ref="M813:M815" si="977">K813/I813</f>
        <v>1</v>
      </c>
      <c r="N813" s="76">
        <f>SUM(N814:N818)</f>
        <v>357993.38</v>
      </c>
      <c r="O813" s="76">
        <f t="shared" ref="O813:O817" si="978">H813-N813</f>
        <v>0</v>
      </c>
      <c r="P813" s="78">
        <f t="shared" si="956"/>
        <v>1</v>
      </c>
      <c r="Q813" s="186"/>
      <c r="R813" s="186"/>
      <c r="S813" s="372" t="s">
        <v>519</v>
      </c>
    </row>
    <row r="814" spans="1:19" s="28" customFormat="1" ht="34.5" customHeight="1" x14ac:dyDescent="0.35">
      <c r="A814" s="394"/>
      <c r="B814" s="163" t="s">
        <v>10</v>
      </c>
      <c r="C814" s="75"/>
      <c r="D814" s="76"/>
      <c r="E814" s="76"/>
      <c r="F814" s="79"/>
      <c r="G814" s="76"/>
      <c r="H814" s="76"/>
      <c r="I814" s="76"/>
      <c r="J814" s="44" t="e">
        <f t="shared" si="975"/>
        <v>#DIV/0!</v>
      </c>
      <c r="K814" s="37"/>
      <c r="L814" s="44" t="e">
        <f>K814/H814</f>
        <v>#DIV/0!</v>
      </c>
      <c r="M814" s="44" t="e">
        <f>K814/I814</f>
        <v>#DIV/0!</v>
      </c>
      <c r="N814" s="41"/>
      <c r="O814" s="37">
        <f t="shared" si="978"/>
        <v>0</v>
      </c>
      <c r="P814" s="44" t="e">
        <f>N814/H814</f>
        <v>#DIV/0!</v>
      </c>
      <c r="Q814" s="149"/>
      <c r="R814" s="149"/>
      <c r="S814" s="373"/>
    </row>
    <row r="815" spans="1:19" s="28" customFormat="1" ht="34.5" customHeight="1" x14ac:dyDescent="0.35">
      <c r="A815" s="394"/>
      <c r="B815" s="163" t="s">
        <v>8</v>
      </c>
      <c r="C815" s="75"/>
      <c r="D815" s="76"/>
      <c r="E815" s="76"/>
      <c r="F815" s="79"/>
      <c r="G815" s="76">
        <v>263200</v>
      </c>
      <c r="H815" s="76">
        <v>340091.1</v>
      </c>
      <c r="I815" s="76">
        <f>K815</f>
        <v>17055.37</v>
      </c>
      <c r="J815" s="84">
        <f t="shared" si="975"/>
        <v>0.05</v>
      </c>
      <c r="K815" s="76">
        <v>17055.37</v>
      </c>
      <c r="L815" s="84">
        <f t="shared" si="976"/>
        <v>0.05</v>
      </c>
      <c r="M815" s="78">
        <f t="shared" si="977"/>
        <v>1</v>
      </c>
      <c r="N815" s="81">
        <f>H815</f>
        <v>340091.1</v>
      </c>
      <c r="O815" s="76">
        <f t="shared" si="978"/>
        <v>0</v>
      </c>
      <c r="P815" s="84">
        <f t="shared" si="956"/>
        <v>1</v>
      </c>
      <c r="Q815" s="149"/>
      <c r="R815" s="149"/>
      <c r="S815" s="373"/>
    </row>
    <row r="816" spans="1:19" s="28" customFormat="1" ht="34.5" customHeight="1" x14ac:dyDescent="0.35">
      <c r="A816" s="394"/>
      <c r="B816" s="226" t="s">
        <v>19</v>
      </c>
      <c r="C816" s="75"/>
      <c r="D816" s="76"/>
      <c r="E816" s="76"/>
      <c r="F816" s="79"/>
      <c r="G816" s="76">
        <v>13852.6</v>
      </c>
      <c r="H816" s="76">
        <v>13852.6</v>
      </c>
      <c r="I816" s="76">
        <v>897.65</v>
      </c>
      <c r="J816" s="84">
        <f>I816/H816</f>
        <v>0.06</v>
      </c>
      <c r="K816" s="76">
        <f>I816</f>
        <v>897.65</v>
      </c>
      <c r="L816" s="84">
        <f>K816/H816</f>
        <v>0.06</v>
      </c>
      <c r="M816" s="78">
        <f>K816/I816</f>
        <v>1</v>
      </c>
      <c r="N816" s="81">
        <f t="shared" ref="N816:N817" si="979">H816</f>
        <v>13852.6</v>
      </c>
      <c r="O816" s="76">
        <f t="shared" si="978"/>
        <v>0</v>
      </c>
      <c r="P816" s="84">
        <f t="shared" si="956"/>
        <v>1</v>
      </c>
      <c r="Q816" s="149"/>
      <c r="R816" s="149"/>
      <c r="S816" s="373"/>
    </row>
    <row r="817" spans="1:19" s="28" customFormat="1" ht="34.5" customHeight="1" x14ac:dyDescent="0.35">
      <c r="A817" s="394"/>
      <c r="B817" s="75" t="s">
        <v>22</v>
      </c>
      <c r="C817" s="75"/>
      <c r="D817" s="76"/>
      <c r="E817" s="76"/>
      <c r="F817" s="79"/>
      <c r="G817" s="76">
        <v>4049.68</v>
      </c>
      <c r="H817" s="76">
        <f>G817</f>
        <v>4049.68</v>
      </c>
      <c r="I817" s="76"/>
      <c r="J817" s="44">
        <f>I817/H817</f>
        <v>0</v>
      </c>
      <c r="K817" s="76"/>
      <c r="L817" s="84">
        <f>K817/H817</f>
        <v>0</v>
      </c>
      <c r="M817" s="44" t="e">
        <f>K817/I817</f>
        <v>#DIV/0!</v>
      </c>
      <c r="N817" s="81">
        <f t="shared" si="979"/>
        <v>4049.68</v>
      </c>
      <c r="O817" s="76">
        <f t="shared" si="978"/>
        <v>0</v>
      </c>
      <c r="P817" s="84">
        <f t="shared" si="956"/>
        <v>1</v>
      </c>
      <c r="Q817" s="149"/>
      <c r="R817" s="149"/>
      <c r="S817" s="373"/>
    </row>
    <row r="818" spans="1:19" s="28" customFormat="1" ht="34.5" customHeight="1" x14ac:dyDescent="0.35">
      <c r="A818" s="395"/>
      <c r="B818" s="226" t="s">
        <v>11</v>
      </c>
      <c r="C818" s="75"/>
      <c r="D818" s="76"/>
      <c r="E818" s="76"/>
      <c r="F818" s="79"/>
      <c r="G818" s="76"/>
      <c r="H818" s="76"/>
      <c r="I818" s="76"/>
      <c r="J818" s="44" t="e">
        <f>I818/H818</f>
        <v>#DIV/0!</v>
      </c>
      <c r="K818" s="76"/>
      <c r="L818" s="44" t="e">
        <f>K818/H818</f>
        <v>#DIV/0!</v>
      </c>
      <c r="M818" s="44" t="e">
        <f>K818/I818</f>
        <v>#DIV/0!</v>
      </c>
      <c r="N818" s="81"/>
      <c r="O818" s="84">
        <f>H818-N818</f>
        <v>0</v>
      </c>
      <c r="P818" s="44" t="e">
        <f>N818/H818</f>
        <v>#DIV/0!</v>
      </c>
      <c r="Q818" s="84"/>
      <c r="R818" s="84"/>
      <c r="S818" s="374"/>
    </row>
    <row r="819" spans="1:19" s="245" customFormat="1" ht="63.75" customHeight="1" x14ac:dyDescent="0.25">
      <c r="A819" s="256" t="s">
        <v>401</v>
      </c>
      <c r="B819" s="69" t="s">
        <v>200</v>
      </c>
      <c r="C819" s="69" t="s">
        <v>17</v>
      </c>
      <c r="D819" s="70">
        <f t="shared" ref="D819:H819" si="980">SUM(D820:D824)</f>
        <v>0</v>
      </c>
      <c r="E819" s="70">
        <f t="shared" si="980"/>
        <v>0</v>
      </c>
      <c r="F819" s="70">
        <f t="shared" si="980"/>
        <v>0</v>
      </c>
      <c r="G819" s="70">
        <f t="shared" si="980"/>
        <v>259629.92</v>
      </c>
      <c r="H819" s="70">
        <f t="shared" si="980"/>
        <v>259629.92</v>
      </c>
      <c r="I819" s="70">
        <f>SUM(I820:I824)</f>
        <v>0</v>
      </c>
      <c r="J819" s="56">
        <f>I819/H819</f>
        <v>0</v>
      </c>
      <c r="K819" s="70">
        <f t="shared" ref="K819" si="981">SUM(K820:K824)</f>
        <v>0</v>
      </c>
      <c r="L819" s="73">
        <f>K819/H819</f>
        <v>0</v>
      </c>
      <c r="M819" s="56" t="e">
        <f>K819/I819</f>
        <v>#DIV/0!</v>
      </c>
      <c r="N819" s="70">
        <f t="shared" ref="N819:O819" si="982">SUM(N820:N824)</f>
        <v>257746.04</v>
      </c>
      <c r="O819" s="70">
        <f t="shared" si="982"/>
        <v>1883.88</v>
      </c>
      <c r="P819" s="73">
        <f t="shared" si="956"/>
        <v>0.99</v>
      </c>
      <c r="Q819" s="70"/>
      <c r="R819" s="70"/>
      <c r="S819" s="429" t="s">
        <v>431</v>
      </c>
    </row>
    <row r="820" spans="1:19" s="166" customFormat="1" x14ac:dyDescent="0.25">
      <c r="A820" s="257"/>
      <c r="B820" s="306" t="s">
        <v>10</v>
      </c>
      <c r="C820" s="223"/>
      <c r="D820" s="224"/>
      <c r="E820" s="224"/>
      <c r="F820" s="263"/>
      <c r="G820" s="224">
        <f>G826+G832+G838+G844+G850+G856+G862+G868+G874+G880+G886+G892+G898+G904+G910+G916</f>
        <v>0</v>
      </c>
      <c r="H820" s="224">
        <f>H826+H832+H838+H844+H850+H856+H862+H868+H874+H880+H886+H892+H898+H904+H910+H916</f>
        <v>0</v>
      </c>
      <c r="I820" s="224">
        <f>I826+I832+I838+I844+I850+I856+I862+I868+I874+I880+I886+I892+I898+I904+I910+I916</f>
        <v>0</v>
      </c>
      <c r="J820" s="331" t="e">
        <f>I820/H820</f>
        <v>#DIV/0!</v>
      </c>
      <c r="K820" s="224">
        <f>K826+K832+K838+K844+K850+K856+K862+K868+K874+K880+K886+K892+K898+K904+K910+K916</f>
        <v>0</v>
      </c>
      <c r="L820" s="331" t="e">
        <f t="shared" ref="L820:L824" si="983">K820/H820</f>
        <v>#DIV/0!</v>
      </c>
      <c r="M820" s="56" t="e">
        <f t="shared" ref="M820:M824" si="984">K820/I820</f>
        <v>#DIV/0!</v>
      </c>
      <c r="N820" s="224">
        <f>N826+N832+N838+N844+N850+N856+N862+N868+N874+N880+N886+N892+N898+N904+N910+N916</f>
        <v>0</v>
      </c>
      <c r="O820" s="224">
        <f>O826+O832+O838+O844+O850+O856+O862+O868+O874+O880+O886+O892+O898+O904+O910+O916</f>
        <v>0</v>
      </c>
      <c r="P820" s="331" t="e">
        <f t="shared" si="956"/>
        <v>#DIV/0!</v>
      </c>
      <c r="Q820" s="224"/>
      <c r="R820" s="224"/>
      <c r="S820" s="386"/>
    </row>
    <row r="821" spans="1:19" s="166" customFormat="1" x14ac:dyDescent="0.25">
      <c r="A821" s="257"/>
      <c r="B821" s="306" t="s">
        <v>8</v>
      </c>
      <c r="C821" s="223"/>
      <c r="D821" s="224"/>
      <c r="E821" s="224"/>
      <c r="F821" s="224"/>
      <c r="G821" s="224">
        <f>G827+G833+G839+G845+G851+G857+G863+G869+G875+G881+G887+G893+G899+G905+G911+G917</f>
        <v>243392.5</v>
      </c>
      <c r="H821" s="308">
        <f>H827+H833+H839+H845+H851+H857+H863+H869+H875+H881+H887+H893+H899+H905+H911+H917+H923</f>
        <v>243392.5</v>
      </c>
      <c r="I821" s="224">
        <f>I827+I833+I839+I845+I851+I857+I863+I869+I875+I881+I887+I893+I899+I905+I911+I917</f>
        <v>0</v>
      </c>
      <c r="J821" s="331">
        <f t="shared" ref="J821:J824" si="985">I821/H821</f>
        <v>0</v>
      </c>
      <c r="K821" s="224">
        <f>K827+K833+K839+K845+K851+K857+K863+K869+K875+K881+K887+K893+K899+K905+K911+K917</f>
        <v>0</v>
      </c>
      <c r="L821" s="331">
        <f t="shared" si="983"/>
        <v>0</v>
      </c>
      <c r="M821" s="56" t="e">
        <f t="shared" si="984"/>
        <v>#DIV/0!</v>
      </c>
      <c r="N821" s="224">
        <f>N827+N833+N839+N845+N851+N857+N863+N869+N875+N881+N887+N893+N899+N905+N911+N917+N923</f>
        <v>241610.89</v>
      </c>
      <c r="O821" s="224">
        <f>O827+O833+O839+O845+O851+O857+O863+O869+O875+O881+O887+O893+O899+O905+O911+O917</f>
        <v>1781.61</v>
      </c>
      <c r="P821" s="307">
        <f t="shared" si="956"/>
        <v>0.99</v>
      </c>
      <c r="Q821" s="224"/>
      <c r="R821" s="224"/>
      <c r="S821" s="386"/>
    </row>
    <row r="822" spans="1:19" s="166" customFormat="1" x14ac:dyDescent="0.25">
      <c r="A822" s="257"/>
      <c r="B822" s="227" t="s">
        <v>19</v>
      </c>
      <c r="C822" s="69"/>
      <c r="D822" s="70"/>
      <c r="E822" s="70"/>
      <c r="F822" s="70"/>
      <c r="G822" s="224">
        <f>G828+G834+G840+G846+G852+G858+G864+G870+G876+G882+G888+G894+G900+G906+G912+G918</f>
        <v>16237.42</v>
      </c>
      <c r="H822" s="308">
        <f>H828+H834+H840+H846+H852+H858+H864+H870+H876+H882+H888+H894+H900+H906+H912+H918+H924</f>
        <v>16237.42</v>
      </c>
      <c r="I822" s="224">
        <f>I828+I834+I840+I846+I852+I858+I864+I870+I876+I882+I888+I894+I900+I906+I912+I918</f>
        <v>0</v>
      </c>
      <c r="J822" s="331">
        <f t="shared" si="985"/>
        <v>0</v>
      </c>
      <c r="K822" s="224">
        <f>K828+K834+K840+K846+K852+K858+K864+K870+K876+K882+K888+K894+K900+K906+K912+K918</f>
        <v>0</v>
      </c>
      <c r="L822" s="331">
        <f t="shared" si="983"/>
        <v>0</v>
      </c>
      <c r="M822" s="56" t="e">
        <f t="shared" si="984"/>
        <v>#DIV/0!</v>
      </c>
      <c r="N822" s="224">
        <f>N828+N834+N840+N846+N852+N858+N864+N870+N876+N882+N888+N894+N900+N906+N912+N918+N924</f>
        <v>16135.15</v>
      </c>
      <c r="O822" s="224">
        <f>O828+O834+O840+O846+O852+O858+O864+O870+O876+O882+O888+O894+O900+O906+O912+O918</f>
        <v>102.27</v>
      </c>
      <c r="P822" s="307">
        <f t="shared" si="956"/>
        <v>0.99</v>
      </c>
      <c r="Q822" s="224"/>
      <c r="R822" s="224"/>
      <c r="S822" s="386"/>
    </row>
    <row r="823" spans="1:19" s="166" customFormat="1" x14ac:dyDescent="0.25">
      <c r="A823" s="257"/>
      <c r="B823" s="69" t="s">
        <v>22</v>
      </c>
      <c r="C823" s="69"/>
      <c r="D823" s="70"/>
      <c r="E823" s="70"/>
      <c r="F823" s="155"/>
      <c r="G823" s="224">
        <f>G829+G835+G841+G847+G853+G859+G865+G871+G877+G883+G889+G895+G901+G907+G913+G919</f>
        <v>0</v>
      </c>
      <c r="H823" s="224">
        <f>H829+H835+H841+H847+H853+H859+H865+H871+H877+H883+H889+H895+H901+H907+H913+H919</f>
        <v>0</v>
      </c>
      <c r="I823" s="224">
        <f>I829+I835+I841+I847+I853+I859+I865+I871+I877+I883+I889+I895+I901+I907+I913+I919</f>
        <v>0</v>
      </c>
      <c r="J823" s="331" t="e">
        <f t="shared" si="985"/>
        <v>#DIV/0!</v>
      </c>
      <c r="K823" s="224">
        <f>K829+K835+K841+K847+K853+K859+K865+K871+K877+K883+K889+K895+K901+K907+K913+K919</f>
        <v>0</v>
      </c>
      <c r="L823" s="331" t="e">
        <f t="shared" si="983"/>
        <v>#DIV/0!</v>
      </c>
      <c r="M823" s="56" t="e">
        <f t="shared" si="984"/>
        <v>#DIV/0!</v>
      </c>
      <c r="N823" s="224">
        <f>N829+N835+N841+N847+N853+N859+N865+N871+N877+N883+N889+N895+N901+N907+N913+N919</f>
        <v>0</v>
      </c>
      <c r="O823" s="224">
        <f>O829+O835+O841+O847+O853+O859+O865+O871+O877+O883+O889+O895+O901+O907+O913+O919</f>
        <v>0</v>
      </c>
      <c r="P823" s="331" t="e">
        <f t="shared" si="956"/>
        <v>#DIV/0!</v>
      </c>
      <c r="Q823" s="224"/>
      <c r="R823" s="224"/>
      <c r="S823" s="386"/>
    </row>
    <row r="824" spans="1:19" s="166" customFormat="1" x14ac:dyDescent="0.25">
      <c r="A824" s="258"/>
      <c r="B824" s="227" t="s">
        <v>11</v>
      </c>
      <c r="C824" s="69"/>
      <c r="D824" s="70"/>
      <c r="E824" s="70"/>
      <c r="F824" s="155"/>
      <c r="G824" s="224">
        <f>G830+G836+G842+G848+G854+G860+G866+G872+G878+G884+G890+G896+G902+G908+G914+G920</f>
        <v>0</v>
      </c>
      <c r="H824" s="224">
        <f>H830+H836+H842+H848+H854+H860+H866+H872+H878+H884+H890+H896+H902+H908+H914+H920</f>
        <v>0</v>
      </c>
      <c r="I824" s="224">
        <f>I830+I836+I842+I848+I854+I860+I866+I872+I878+I884+I890+I896+I902+I908+I914+I920</f>
        <v>0</v>
      </c>
      <c r="J824" s="331" t="e">
        <f t="shared" si="985"/>
        <v>#DIV/0!</v>
      </c>
      <c r="K824" s="224">
        <f>K830+K836+K842+K848+K854+K860+K866+K872+K878+K884+K890+K896+K902+K908+K914+K920</f>
        <v>0</v>
      </c>
      <c r="L824" s="331" t="e">
        <f t="shared" si="983"/>
        <v>#DIV/0!</v>
      </c>
      <c r="M824" s="56" t="e">
        <f t="shared" si="984"/>
        <v>#DIV/0!</v>
      </c>
      <c r="N824" s="224">
        <f>N830+N836+N842+N848+N854+N860+N866+N872+N878+N884+N890+N896+N902+N908+N914+N920</f>
        <v>0</v>
      </c>
      <c r="O824" s="224">
        <f>O830+O836+O842+O848+O854+O860+O866+O872+O878+O884+O890+O896+O902+O908+O914+O920</f>
        <v>0</v>
      </c>
      <c r="P824" s="331" t="e">
        <f t="shared" si="956"/>
        <v>#DIV/0!</v>
      </c>
      <c r="Q824" s="224"/>
      <c r="R824" s="224"/>
      <c r="S824" s="386"/>
    </row>
    <row r="825" spans="1:19" s="244" customFormat="1" ht="53.25" customHeight="1" x14ac:dyDescent="0.25">
      <c r="A825" s="269" t="s">
        <v>331</v>
      </c>
      <c r="B825" s="69" t="s">
        <v>332</v>
      </c>
      <c r="C825" s="75" t="s">
        <v>17</v>
      </c>
      <c r="D825" s="76">
        <f t="shared" ref="D825:H825" si="986">SUM(D826:D830)</f>
        <v>0</v>
      </c>
      <c r="E825" s="76">
        <f t="shared" si="986"/>
        <v>0</v>
      </c>
      <c r="F825" s="76">
        <f t="shared" si="986"/>
        <v>0</v>
      </c>
      <c r="G825" s="76">
        <f t="shared" si="986"/>
        <v>16360.03</v>
      </c>
      <c r="H825" s="76">
        <f t="shared" si="986"/>
        <v>15396.03</v>
      </c>
      <c r="I825" s="76">
        <f>SUM(I826:I830)</f>
        <v>0</v>
      </c>
      <c r="J825" s="39">
        <f>I825/H825</f>
        <v>0</v>
      </c>
      <c r="K825" s="76">
        <f t="shared" ref="K825" si="987">SUM(K826:K830)</f>
        <v>0</v>
      </c>
      <c r="L825" s="39">
        <f>K825/H825</f>
        <v>0</v>
      </c>
      <c r="M825" s="39" t="e">
        <f>K825/I825</f>
        <v>#DIV/0!</v>
      </c>
      <c r="N825" s="76">
        <f t="shared" ref="N825:O825" si="988">SUM(N826:N830)</f>
        <v>15395.93</v>
      </c>
      <c r="O825" s="76">
        <f t="shared" si="988"/>
        <v>0.1</v>
      </c>
      <c r="P825" s="78">
        <f t="shared" ref="P825:P830" si="989">N825/H825</f>
        <v>1</v>
      </c>
      <c r="Q825" s="76"/>
      <c r="R825" s="76"/>
      <c r="S825" s="382" t="s">
        <v>432</v>
      </c>
    </row>
    <row r="826" spans="1:19" s="107" customFormat="1" x14ac:dyDescent="0.25">
      <c r="A826" s="266"/>
      <c r="B826" s="163" t="s">
        <v>10</v>
      </c>
      <c r="C826" s="80"/>
      <c r="D826" s="81"/>
      <c r="E826" s="81"/>
      <c r="F826" s="82"/>
      <c r="G826" s="81"/>
      <c r="H826" s="81"/>
      <c r="I826" s="81"/>
      <c r="J826" s="44" t="e">
        <f>I826/H826</f>
        <v>#DIV/0!</v>
      </c>
      <c r="K826" s="81"/>
      <c r="L826" s="44" t="e">
        <f t="shared" ref="L826:L830" si="990">K826/H826</f>
        <v>#DIV/0!</v>
      </c>
      <c r="M826" s="39" t="e">
        <f t="shared" ref="M826:M830" si="991">K826/I826</f>
        <v>#DIV/0!</v>
      </c>
      <c r="N826" s="81">
        <f>H826</f>
        <v>0</v>
      </c>
      <c r="O826" s="81">
        <f>H826-N826</f>
        <v>0</v>
      </c>
      <c r="P826" s="44" t="e">
        <f t="shared" si="989"/>
        <v>#DIV/0!</v>
      </c>
      <c r="Q826" s="81"/>
      <c r="R826" s="81"/>
      <c r="S826" s="383"/>
    </row>
    <row r="827" spans="1:19" s="107" customFormat="1" x14ac:dyDescent="0.25">
      <c r="A827" s="266"/>
      <c r="B827" s="163" t="s">
        <v>8</v>
      </c>
      <c r="C827" s="80"/>
      <c r="D827" s="81"/>
      <c r="E827" s="81"/>
      <c r="F827" s="81"/>
      <c r="G827" s="197">
        <f>15542031/1000</f>
        <v>15542.03</v>
      </c>
      <c r="H827" s="197">
        <v>14626.23</v>
      </c>
      <c r="I827" s="81"/>
      <c r="J827" s="44">
        <f t="shared" ref="J827:J830" si="992">I827/H827</f>
        <v>0</v>
      </c>
      <c r="K827" s="81"/>
      <c r="L827" s="44">
        <f t="shared" si="990"/>
        <v>0</v>
      </c>
      <c r="M827" s="39" t="e">
        <f t="shared" si="991"/>
        <v>#DIV/0!</v>
      </c>
      <c r="N827" s="81">
        <f>14626.13</f>
        <v>14626.13</v>
      </c>
      <c r="O827" s="81">
        <f t="shared" ref="O827:O830" si="993">H827-N827</f>
        <v>0.1</v>
      </c>
      <c r="P827" s="84">
        <f t="shared" si="989"/>
        <v>1</v>
      </c>
      <c r="Q827" s="81"/>
      <c r="R827" s="81"/>
      <c r="S827" s="383"/>
    </row>
    <row r="828" spans="1:19" s="107" customFormat="1" x14ac:dyDescent="0.25">
      <c r="A828" s="266"/>
      <c r="B828" s="226" t="s">
        <v>19</v>
      </c>
      <c r="C828" s="75"/>
      <c r="D828" s="76"/>
      <c r="E828" s="76"/>
      <c r="F828" s="76"/>
      <c r="G828" s="197">
        <f>818001/1000</f>
        <v>818</v>
      </c>
      <c r="H828" s="197">
        <v>769.8</v>
      </c>
      <c r="I828" s="81"/>
      <c r="J828" s="44">
        <f t="shared" si="992"/>
        <v>0</v>
      </c>
      <c r="K828" s="81"/>
      <c r="L828" s="44">
        <f t="shared" si="990"/>
        <v>0</v>
      </c>
      <c r="M828" s="39" t="e">
        <f t="shared" si="991"/>
        <v>#DIV/0!</v>
      </c>
      <c r="N828" s="81">
        <f t="shared" ref="N828:N830" si="994">H828</f>
        <v>769.8</v>
      </c>
      <c r="O828" s="81">
        <f t="shared" si="993"/>
        <v>0</v>
      </c>
      <c r="P828" s="84">
        <f t="shared" si="989"/>
        <v>1</v>
      </c>
      <c r="Q828" s="81"/>
      <c r="R828" s="81"/>
      <c r="S828" s="383"/>
    </row>
    <row r="829" spans="1:19" s="107" customFormat="1" ht="54" customHeight="1" x14ac:dyDescent="0.25">
      <c r="A829" s="266"/>
      <c r="B829" s="75" t="s">
        <v>22</v>
      </c>
      <c r="C829" s="75"/>
      <c r="D829" s="76"/>
      <c r="E829" s="76"/>
      <c r="F829" s="79"/>
      <c r="G829" s="81"/>
      <c r="H829" s="81"/>
      <c r="I829" s="81"/>
      <c r="J829" s="44" t="e">
        <f t="shared" si="992"/>
        <v>#DIV/0!</v>
      </c>
      <c r="K829" s="81"/>
      <c r="L829" s="44" t="e">
        <f t="shared" si="990"/>
        <v>#DIV/0!</v>
      </c>
      <c r="M829" s="39" t="e">
        <f t="shared" si="991"/>
        <v>#DIV/0!</v>
      </c>
      <c r="N829" s="81">
        <f t="shared" si="994"/>
        <v>0</v>
      </c>
      <c r="O829" s="81">
        <f t="shared" si="993"/>
        <v>0</v>
      </c>
      <c r="P829" s="44" t="e">
        <f t="shared" si="989"/>
        <v>#DIV/0!</v>
      </c>
      <c r="Q829" s="81"/>
      <c r="R829" s="81"/>
      <c r="S829" s="383"/>
    </row>
    <row r="830" spans="1:19" s="107" customFormat="1" x14ac:dyDescent="0.25">
      <c r="A830" s="267"/>
      <c r="B830" s="226" t="s">
        <v>11</v>
      </c>
      <c r="C830" s="75"/>
      <c r="D830" s="76"/>
      <c r="E830" s="76"/>
      <c r="F830" s="79"/>
      <c r="G830" s="81"/>
      <c r="H830" s="81"/>
      <c r="I830" s="81"/>
      <c r="J830" s="44" t="e">
        <f t="shared" si="992"/>
        <v>#DIV/0!</v>
      </c>
      <c r="K830" s="81"/>
      <c r="L830" s="44" t="e">
        <f t="shared" si="990"/>
        <v>#DIV/0!</v>
      </c>
      <c r="M830" s="39" t="e">
        <f t="shared" si="991"/>
        <v>#DIV/0!</v>
      </c>
      <c r="N830" s="81">
        <f t="shared" si="994"/>
        <v>0</v>
      </c>
      <c r="O830" s="81">
        <f t="shared" si="993"/>
        <v>0</v>
      </c>
      <c r="P830" s="44" t="e">
        <f t="shared" si="989"/>
        <v>#DIV/0!</v>
      </c>
      <c r="Q830" s="81"/>
      <c r="R830" s="81"/>
      <c r="S830" s="384"/>
    </row>
    <row r="831" spans="1:19" s="244" customFormat="1" ht="50.25" customHeight="1" x14ac:dyDescent="0.25">
      <c r="A831" s="269" t="s">
        <v>331</v>
      </c>
      <c r="B831" s="69" t="s">
        <v>333</v>
      </c>
      <c r="C831" s="75" t="s">
        <v>17</v>
      </c>
      <c r="D831" s="76">
        <f t="shared" ref="D831:I831" si="995">SUM(D832:D836)</f>
        <v>0</v>
      </c>
      <c r="E831" s="76">
        <f t="shared" si="995"/>
        <v>0</v>
      </c>
      <c r="F831" s="76">
        <f t="shared" si="995"/>
        <v>0</v>
      </c>
      <c r="G831" s="76">
        <f t="shared" si="995"/>
        <v>9960.39</v>
      </c>
      <c r="H831" s="76">
        <f t="shared" si="995"/>
        <v>9298.6</v>
      </c>
      <c r="I831" s="76">
        <f t="shared" si="995"/>
        <v>0</v>
      </c>
      <c r="J831" s="39">
        <f>I831/H831</f>
        <v>0</v>
      </c>
      <c r="K831" s="76">
        <f t="shared" ref="K831" si="996">SUM(K832:K836)</f>
        <v>0</v>
      </c>
      <c r="L831" s="39">
        <f>K831/H831</f>
        <v>0</v>
      </c>
      <c r="M831" s="39" t="e">
        <f>K831/I831</f>
        <v>#DIV/0!</v>
      </c>
      <c r="N831" s="76">
        <f t="shared" ref="N831:O831" si="997">SUM(N832:N836)</f>
        <v>9298.5400000000009</v>
      </c>
      <c r="O831" s="76">
        <f t="shared" si="997"/>
        <v>0.06</v>
      </c>
      <c r="P831" s="78">
        <f t="shared" ref="P831:P884" si="998">N831/H831</f>
        <v>1</v>
      </c>
      <c r="Q831" s="76"/>
      <c r="R831" s="76"/>
      <c r="S831" s="382" t="s">
        <v>433</v>
      </c>
    </row>
    <row r="832" spans="1:19" s="107" customFormat="1" x14ac:dyDescent="0.25">
      <c r="A832" s="266"/>
      <c r="B832" s="163" t="s">
        <v>10</v>
      </c>
      <c r="C832" s="80"/>
      <c r="D832" s="81"/>
      <c r="E832" s="81"/>
      <c r="F832" s="82"/>
      <c r="G832" s="81"/>
      <c r="H832" s="81"/>
      <c r="I832" s="81"/>
      <c r="J832" s="44" t="e">
        <f>I832/H832</f>
        <v>#DIV/0!</v>
      </c>
      <c r="K832" s="81"/>
      <c r="L832" s="44" t="e">
        <f t="shared" ref="L832:L836" si="999">K832/H832</f>
        <v>#DIV/0!</v>
      </c>
      <c r="M832" s="39" t="e">
        <f t="shared" ref="M832:M836" si="1000">K832/I832</f>
        <v>#DIV/0!</v>
      </c>
      <c r="N832" s="81">
        <f>H832</f>
        <v>0</v>
      </c>
      <c r="O832" s="81">
        <f>H832-N832</f>
        <v>0</v>
      </c>
      <c r="P832" s="44" t="e">
        <f t="shared" si="998"/>
        <v>#DIV/0!</v>
      </c>
      <c r="Q832" s="81"/>
      <c r="R832" s="81"/>
      <c r="S832" s="383"/>
    </row>
    <row r="833" spans="1:19" s="107" customFormat="1" x14ac:dyDescent="0.25">
      <c r="A833" s="266"/>
      <c r="B833" s="163" t="s">
        <v>8</v>
      </c>
      <c r="C833" s="80"/>
      <c r="D833" s="81"/>
      <c r="E833" s="81"/>
      <c r="F833" s="81"/>
      <c r="G833" s="197">
        <f>9462367/1000</f>
        <v>9462.3700000000008</v>
      </c>
      <c r="H833" s="197">
        <v>8833.67</v>
      </c>
      <c r="I833" s="81"/>
      <c r="J833" s="44">
        <f t="shared" ref="J833:J836" si="1001">I833/H833</f>
        <v>0</v>
      </c>
      <c r="K833" s="81"/>
      <c r="L833" s="44">
        <f t="shared" si="999"/>
        <v>0</v>
      </c>
      <c r="M833" s="39" t="e">
        <f t="shared" si="1000"/>
        <v>#DIV/0!</v>
      </c>
      <c r="N833" s="81">
        <f>8833.61</f>
        <v>8833.61</v>
      </c>
      <c r="O833" s="81">
        <f>H833-N833</f>
        <v>0.06</v>
      </c>
      <c r="P833" s="84">
        <f t="shared" si="998"/>
        <v>1</v>
      </c>
      <c r="Q833" s="81"/>
      <c r="R833" s="81"/>
      <c r="S833" s="383"/>
    </row>
    <row r="834" spans="1:19" s="107" customFormat="1" x14ac:dyDescent="0.25">
      <c r="A834" s="266"/>
      <c r="B834" s="226" t="s">
        <v>19</v>
      </c>
      <c r="C834" s="75"/>
      <c r="D834" s="76"/>
      <c r="E834" s="76"/>
      <c r="F834" s="76"/>
      <c r="G834" s="197">
        <f>498019/1000</f>
        <v>498.02</v>
      </c>
      <c r="H834" s="197">
        <v>464.93</v>
      </c>
      <c r="I834" s="81"/>
      <c r="J834" s="44">
        <f t="shared" si="1001"/>
        <v>0</v>
      </c>
      <c r="K834" s="81"/>
      <c r="L834" s="44">
        <f t="shared" si="999"/>
        <v>0</v>
      </c>
      <c r="M834" s="39" t="e">
        <f t="shared" si="1000"/>
        <v>#DIV/0!</v>
      </c>
      <c r="N834" s="81">
        <f t="shared" ref="N834:N836" si="1002">H834</f>
        <v>464.93</v>
      </c>
      <c r="O834" s="81">
        <f t="shared" ref="O834:O836" si="1003">H834-N834</f>
        <v>0</v>
      </c>
      <c r="P834" s="84">
        <f t="shared" si="998"/>
        <v>1</v>
      </c>
      <c r="Q834" s="81"/>
      <c r="R834" s="81"/>
      <c r="S834" s="383"/>
    </row>
    <row r="835" spans="1:19" s="107" customFormat="1" x14ac:dyDescent="0.25">
      <c r="A835" s="266"/>
      <c r="B835" s="75" t="s">
        <v>22</v>
      </c>
      <c r="C835" s="75"/>
      <c r="D835" s="76"/>
      <c r="E835" s="76"/>
      <c r="F835" s="79"/>
      <c r="G835" s="271"/>
      <c r="H835" s="271"/>
      <c r="I835" s="81"/>
      <c r="J835" s="44" t="e">
        <f t="shared" si="1001"/>
        <v>#DIV/0!</v>
      </c>
      <c r="K835" s="81"/>
      <c r="L835" s="44" t="e">
        <f t="shared" si="999"/>
        <v>#DIV/0!</v>
      </c>
      <c r="M835" s="39" t="e">
        <f t="shared" si="1000"/>
        <v>#DIV/0!</v>
      </c>
      <c r="N835" s="81">
        <f t="shared" si="1002"/>
        <v>0</v>
      </c>
      <c r="O835" s="81">
        <f t="shared" si="1003"/>
        <v>0</v>
      </c>
      <c r="P835" s="44" t="e">
        <f t="shared" si="998"/>
        <v>#DIV/0!</v>
      </c>
      <c r="Q835" s="81"/>
      <c r="R835" s="81"/>
      <c r="S835" s="383"/>
    </row>
    <row r="836" spans="1:19" s="107" customFormat="1" ht="93" customHeight="1" x14ac:dyDescent="0.25">
      <c r="A836" s="267"/>
      <c r="B836" s="226" t="s">
        <v>11</v>
      </c>
      <c r="C836" s="75"/>
      <c r="D836" s="76"/>
      <c r="E836" s="76"/>
      <c r="F836" s="79"/>
      <c r="G836" s="271"/>
      <c r="H836" s="271"/>
      <c r="I836" s="81"/>
      <c r="J836" s="44" t="e">
        <f t="shared" si="1001"/>
        <v>#DIV/0!</v>
      </c>
      <c r="K836" s="81"/>
      <c r="L836" s="44" t="e">
        <f t="shared" si="999"/>
        <v>#DIV/0!</v>
      </c>
      <c r="M836" s="39" t="e">
        <f t="shared" si="1000"/>
        <v>#DIV/0!</v>
      </c>
      <c r="N836" s="81">
        <f t="shared" si="1002"/>
        <v>0</v>
      </c>
      <c r="O836" s="81">
        <f t="shared" si="1003"/>
        <v>0</v>
      </c>
      <c r="P836" s="44" t="e">
        <f t="shared" si="998"/>
        <v>#DIV/0!</v>
      </c>
      <c r="Q836" s="81"/>
      <c r="R836" s="81"/>
      <c r="S836" s="384"/>
    </row>
    <row r="837" spans="1:19" s="244" customFormat="1" ht="72" customHeight="1" x14ac:dyDescent="0.25">
      <c r="A837" s="269" t="s">
        <v>331</v>
      </c>
      <c r="B837" s="69" t="s">
        <v>334</v>
      </c>
      <c r="C837" s="75" t="s">
        <v>17</v>
      </c>
      <c r="D837" s="76">
        <f t="shared" ref="D837:I837" si="1004">SUM(D838:D842)</f>
        <v>0</v>
      </c>
      <c r="E837" s="76">
        <f t="shared" si="1004"/>
        <v>0</v>
      </c>
      <c r="F837" s="76">
        <f t="shared" si="1004"/>
        <v>0</v>
      </c>
      <c r="G837" s="197">
        <f t="shared" si="1004"/>
        <v>57642.16</v>
      </c>
      <c r="H837" s="197">
        <f t="shared" si="1004"/>
        <v>57642.16</v>
      </c>
      <c r="I837" s="76">
        <f t="shared" si="1004"/>
        <v>0</v>
      </c>
      <c r="J837" s="39">
        <f>I837/H837</f>
        <v>0</v>
      </c>
      <c r="K837" s="76">
        <f t="shared" ref="K837" si="1005">SUM(K838:K842)</f>
        <v>0</v>
      </c>
      <c r="L837" s="39">
        <f>K837/H837</f>
        <v>0</v>
      </c>
      <c r="M837" s="39" t="e">
        <f>K837/I837</f>
        <v>#DIV/0!</v>
      </c>
      <c r="N837" s="76">
        <f t="shared" ref="N837:O837" si="1006">SUM(N838:N842)</f>
        <v>57641.8</v>
      </c>
      <c r="O837" s="76">
        <f t="shared" si="1006"/>
        <v>0.36</v>
      </c>
      <c r="P837" s="78">
        <f t="shared" si="998"/>
        <v>1</v>
      </c>
      <c r="Q837" s="76"/>
      <c r="R837" s="76"/>
      <c r="S837" s="382" t="s">
        <v>434</v>
      </c>
    </row>
    <row r="838" spans="1:19" s="107" customFormat="1" x14ac:dyDescent="0.25">
      <c r="A838" s="266"/>
      <c r="B838" s="163" t="s">
        <v>10</v>
      </c>
      <c r="C838" s="80"/>
      <c r="D838" s="81"/>
      <c r="E838" s="81"/>
      <c r="F838" s="82"/>
      <c r="G838" s="271"/>
      <c r="H838" s="271"/>
      <c r="I838" s="81"/>
      <c r="J838" s="44" t="e">
        <f>I838/H838</f>
        <v>#DIV/0!</v>
      </c>
      <c r="K838" s="81"/>
      <c r="L838" s="44" t="e">
        <f t="shared" ref="L838:L842" si="1007">K838/H838</f>
        <v>#DIV/0!</v>
      </c>
      <c r="M838" s="39" t="e">
        <f t="shared" ref="M838:M842" si="1008">K838/I838</f>
        <v>#DIV/0!</v>
      </c>
      <c r="N838" s="81">
        <f>H838</f>
        <v>0</v>
      </c>
      <c r="O838" s="81">
        <f>H838-N838</f>
        <v>0</v>
      </c>
      <c r="P838" s="44" t="e">
        <f t="shared" si="998"/>
        <v>#DIV/0!</v>
      </c>
      <c r="Q838" s="81"/>
      <c r="R838" s="81"/>
      <c r="S838" s="383"/>
    </row>
    <row r="839" spans="1:19" s="107" customFormat="1" x14ac:dyDescent="0.25">
      <c r="A839" s="266"/>
      <c r="B839" s="163" t="s">
        <v>8</v>
      </c>
      <c r="C839" s="80"/>
      <c r="D839" s="81"/>
      <c r="E839" s="81"/>
      <c r="F839" s="81"/>
      <c r="G839" s="197">
        <f>54760053/1000</f>
        <v>54760.05</v>
      </c>
      <c r="H839" s="197">
        <f>54760053/1000</f>
        <v>54760.05</v>
      </c>
      <c r="I839" s="81"/>
      <c r="J839" s="44">
        <f t="shared" ref="J839:J842" si="1009">I839/H839</f>
        <v>0</v>
      </c>
      <c r="K839" s="81"/>
      <c r="L839" s="44">
        <f t="shared" si="1007"/>
        <v>0</v>
      </c>
      <c r="M839" s="39" t="e">
        <f t="shared" si="1008"/>
        <v>#DIV/0!</v>
      </c>
      <c r="N839" s="81">
        <v>54759.71</v>
      </c>
      <c r="O839" s="81">
        <f t="shared" ref="O839:O842" si="1010">H839-N839</f>
        <v>0.34</v>
      </c>
      <c r="P839" s="84">
        <f t="shared" si="998"/>
        <v>1</v>
      </c>
      <c r="Q839" s="81"/>
      <c r="R839" s="81"/>
      <c r="S839" s="383"/>
    </row>
    <row r="840" spans="1:19" s="107" customFormat="1" x14ac:dyDescent="0.25">
      <c r="A840" s="266"/>
      <c r="B840" s="226" t="s">
        <v>19</v>
      </c>
      <c r="C840" s="75"/>
      <c r="D840" s="76"/>
      <c r="E840" s="76"/>
      <c r="F840" s="76"/>
      <c r="G840" s="197">
        <f>2882108/1000</f>
        <v>2882.11</v>
      </c>
      <c r="H840" s="197">
        <f>2882108/1000</f>
        <v>2882.11</v>
      </c>
      <c r="I840" s="81"/>
      <c r="J840" s="44">
        <f t="shared" si="1009"/>
        <v>0</v>
      </c>
      <c r="K840" s="81"/>
      <c r="L840" s="44">
        <f t="shared" si="1007"/>
        <v>0</v>
      </c>
      <c r="M840" s="39" t="e">
        <f t="shared" si="1008"/>
        <v>#DIV/0!</v>
      </c>
      <c r="N840" s="81">
        <v>2882.09</v>
      </c>
      <c r="O840" s="81">
        <f t="shared" si="1010"/>
        <v>0.02</v>
      </c>
      <c r="P840" s="84">
        <f t="shared" si="998"/>
        <v>1</v>
      </c>
      <c r="Q840" s="81"/>
      <c r="R840" s="81"/>
      <c r="S840" s="383"/>
    </row>
    <row r="841" spans="1:19" s="107" customFormat="1" x14ac:dyDescent="0.25">
      <c r="A841" s="266"/>
      <c r="B841" s="75" t="s">
        <v>22</v>
      </c>
      <c r="C841" s="75"/>
      <c r="D841" s="76"/>
      <c r="E841" s="76"/>
      <c r="F841" s="79"/>
      <c r="G841" s="271"/>
      <c r="H841" s="271"/>
      <c r="I841" s="81"/>
      <c r="J841" s="44" t="e">
        <f t="shared" si="1009"/>
        <v>#DIV/0!</v>
      </c>
      <c r="K841" s="81"/>
      <c r="L841" s="44" t="e">
        <f t="shared" si="1007"/>
        <v>#DIV/0!</v>
      </c>
      <c r="M841" s="39" t="e">
        <f t="shared" si="1008"/>
        <v>#DIV/0!</v>
      </c>
      <c r="N841" s="81">
        <f t="shared" ref="N841:N842" si="1011">H841</f>
        <v>0</v>
      </c>
      <c r="O841" s="81">
        <f t="shared" si="1010"/>
        <v>0</v>
      </c>
      <c r="P841" s="84"/>
      <c r="Q841" s="81"/>
      <c r="R841" s="81"/>
      <c r="S841" s="383"/>
    </row>
    <row r="842" spans="1:19" s="107" customFormat="1" ht="85.5" customHeight="1" x14ac:dyDescent="0.25">
      <c r="A842" s="267"/>
      <c r="B842" s="226" t="s">
        <v>11</v>
      </c>
      <c r="C842" s="75"/>
      <c r="D842" s="76"/>
      <c r="E842" s="76"/>
      <c r="F842" s="79"/>
      <c r="G842" s="81"/>
      <c r="H842" s="81"/>
      <c r="I842" s="81"/>
      <c r="J842" s="44" t="e">
        <f t="shared" si="1009"/>
        <v>#DIV/0!</v>
      </c>
      <c r="K842" s="81"/>
      <c r="L842" s="44" t="e">
        <f t="shared" si="1007"/>
        <v>#DIV/0!</v>
      </c>
      <c r="M842" s="39" t="e">
        <f t="shared" si="1008"/>
        <v>#DIV/0!</v>
      </c>
      <c r="N842" s="81">
        <f t="shared" si="1011"/>
        <v>0</v>
      </c>
      <c r="O842" s="81">
        <f t="shared" si="1010"/>
        <v>0</v>
      </c>
      <c r="P842" s="84"/>
      <c r="Q842" s="81"/>
      <c r="R842" s="81"/>
      <c r="S842" s="384"/>
    </row>
    <row r="843" spans="1:19" s="244" customFormat="1" ht="71.25" customHeight="1" x14ac:dyDescent="0.25">
      <c r="A843" s="269" t="s">
        <v>331</v>
      </c>
      <c r="B843" s="69" t="s">
        <v>335</v>
      </c>
      <c r="C843" s="75" t="s">
        <v>17</v>
      </c>
      <c r="D843" s="76">
        <f t="shared" ref="D843:I843" si="1012">SUM(D844:D848)</f>
        <v>0</v>
      </c>
      <c r="E843" s="76">
        <f t="shared" si="1012"/>
        <v>0</v>
      </c>
      <c r="F843" s="76">
        <f t="shared" si="1012"/>
        <v>0</v>
      </c>
      <c r="G843" s="76">
        <f t="shared" si="1012"/>
        <v>5674.39</v>
      </c>
      <c r="H843" s="76">
        <f t="shared" si="1012"/>
        <v>2834.94</v>
      </c>
      <c r="I843" s="76">
        <f t="shared" si="1012"/>
        <v>0</v>
      </c>
      <c r="J843" s="39">
        <f>I843/H843</f>
        <v>0</v>
      </c>
      <c r="K843" s="76">
        <f t="shared" ref="K843" si="1013">SUM(K844:K848)</f>
        <v>0</v>
      </c>
      <c r="L843" s="39">
        <f>K843/H843</f>
        <v>0</v>
      </c>
      <c r="M843" s="39" t="e">
        <f>K843/I843</f>
        <v>#DIV/0!</v>
      </c>
      <c r="N843" s="76">
        <f t="shared" ref="N843:O843" si="1014">SUM(N844:N848)</f>
        <v>2594.8000000000002</v>
      </c>
      <c r="O843" s="76">
        <f t="shared" si="1014"/>
        <v>240.14</v>
      </c>
      <c r="P843" s="84">
        <f>N843/H843</f>
        <v>0.92</v>
      </c>
      <c r="Q843" s="76"/>
      <c r="R843" s="76"/>
      <c r="S843" s="382" t="s">
        <v>435</v>
      </c>
    </row>
    <row r="844" spans="1:19" s="107" customFormat="1" ht="33" customHeight="1" x14ac:dyDescent="0.25">
      <c r="A844" s="266"/>
      <c r="B844" s="163" t="s">
        <v>10</v>
      </c>
      <c r="C844" s="80"/>
      <c r="D844" s="81"/>
      <c r="E844" s="81"/>
      <c r="F844" s="82"/>
      <c r="G844" s="81"/>
      <c r="H844" s="271"/>
      <c r="I844" s="81"/>
      <c r="J844" s="44" t="e">
        <f>I844/H844</f>
        <v>#DIV/0!</v>
      </c>
      <c r="K844" s="81"/>
      <c r="L844" s="44" t="e">
        <f t="shared" ref="L844:L848" si="1015">K844/H844</f>
        <v>#DIV/0!</v>
      </c>
      <c r="M844" s="39" t="e">
        <f t="shared" ref="M844:M848" si="1016">K844/I844</f>
        <v>#DIV/0!</v>
      </c>
      <c r="N844" s="81">
        <f>H844</f>
        <v>0</v>
      </c>
      <c r="O844" s="81">
        <f>H844-N844</f>
        <v>0</v>
      </c>
      <c r="P844" s="84"/>
      <c r="Q844" s="81"/>
      <c r="R844" s="81"/>
      <c r="S844" s="383"/>
    </row>
    <row r="845" spans="1:19" s="107" customFormat="1" ht="70.5" customHeight="1" x14ac:dyDescent="0.25">
      <c r="A845" s="266"/>
      <c r="B845" s="163" t="s">
        <v>8</v>
      </c>
      <c r="C845" s="80"/>
      <c r="D845" s="81"/>
      <c r="E845" s="81"/>
      <c r="F845" s="81"/>
      <c r="G845" s="197">
        <f>5390666/1000</f>
        <v>5390.67</v>
      </c>
      <c r="H845" s="197">
        <v>2693.19</v>
      </c>
      <c r="I845" s="81"/>
      <c r="J845" s="84">
        <f t="shared" ref="J845:J848" si="1017">I845/H845</f>
        <v>0</v>
      </c>
      <c r="K845" s="81"/>
      <c r="L845" s="84">
        <f t="shared" si="1015"/>
        <v>0</v>
      </c>
      <c r="M845" s="39" t="e">
        <f t="shared" si="1016"/>
        <v>#DIV/0!</v>
      </c>
      <c r="N845" s="81">
        <v>2465.06</v>
      </c>
      <c r="O845" s="81">
        <f t="shared" ref="O845:O848" si="1018">H845-N845</f>
        <v>228.13</v>
      </c>
      <c r="P845" s="84">
        <f>N845/H845</f>
        <v>0.92</v>
      </c>
      <c r="Q845" s="81"/>
      <c r="R845" s="81"/>
      <c r="S845" s="383"/>
    </row>
    <row r="846" spans="1:19" s="107" customFormat="1" ht="122.25" customHeight="1" x14ac:dyDescent="0.25">
      <c r="A846" s="266"/>
      <c r="B846" s="226" t="s">
        <v>19</v>
      </c>
      <c r="C846" s="75"/>
      <c r="D846" s="76"/>
      <c r="E846" s="76"/>
      <c r="F846" s="76"/>
      <c r="G846" s="197">
        <f>283719/1000</f>
        <v>283.72000000000003</v>
      </c>
      <c r="H846" s="197">
        <v>141.75</v>
      </c>
      <c r="I846" s="81"/>
      <c r="J846" s="84">
        <f t="shared" si="1017"/>
        <v>0</v>
      </c>
      <c r="K846" s="81"/>
      <c r="L846" s="84">
        <f t="shared" si="1015"/>
        <v>0</v>
      </c>
      <c r="M846" s="39" t="e">
        <f t="shared" si="1016"/>
        <v>#DIV/0!</v>
      </c>
      <c r="N846" s="81">
        <v>129.74</v>
      </c>
      <c r="O846" s="81">
        <f t="shared" si="1018"/>
        <v>12.01</v>
      </c>
      <c r="P846" s="84">
        <f>N846/H846</f>
        <v>0.92</v>
      </c>
      <c r="Q846" s="81"/>
      <c r="R846" s="81"/>
      <c r="S846" s="383"/>
    </row>
    <row r="847" spans="1:19" s="107" customFormat="1" ht="33" customHeight="1" x14ac:dyDescent="0.25">
      <c r="A847" s="266"/>
      <c r="B847" s="75" t="s">
        <v>22</v>
      </c>
      <c r="C847" s="75"/>
      <c r="D847" s="76"/>
      <c r="E847" s="76"/>
      <c r="F847" s="79"/>
      <c r="G847" s="271"/>
      <c r="H847" s="271"/>
      <c r="I847" s="81"/>
      <c r="J847" s="44" t="e">
        <f t="shared" si="1017"/>
        <v>#DIV/0!</v>
      </c>
      <c r="K847" s="41"/>
      <c r="L847" s="44" t="e">
        <f t="shared" si="1015"/>
        <v>#DIV/0!</v>
      </c>
      <c r="M847" s="39" t="e">
        <f t="shared" si="1016"/>
        <v>#DIV/0!</v>
      </c>
      <c r="N847" s="81">
        <f t="shared" ref="N847:N848" si="1019">H847</f>
        <v>0</v>
      </c>
      <c r="O847" s="81">
        <f t="shared" si="1018"/>
        <v>0</v>
      </c>
      <c r="P847" s="84"/>
      <c r="Q847" s="81"/>
      <c r="R847" s="81"/>
      <c r="S847" s="383"/>
    </row>
    <row r="848" spans="1:19" s="107" customFormat="1" ht="54" customHeight="1" x14ac:dyDescent="0.25">
      <c r="A848" s="267"/>
      <c r="B848" s="226" t="s">
        <v>11</v>
      </c>
      <c r="C848" s="75"/>
      <c r="D848" s="76"/>
      <c r="E848" s="76"/>
      <c r="F848" s="79"/>
      <c r="G848" s="271"/>
      <c r="H848" s="81"/>
      <c r="I848" s="81"/>
      <c r="J848" s="44" t="e">
        <f t="shared" si="1017"/>
        <v>#DIV/0!</v>
      </c>
      <c r="K848" s="41"/>
      <c r="L848" s="44" t="e">
        <f t="shared" si="1015"/>
        <v>#DIV/0!</v>
      </c>
      <c r="M848" s="39" t="e">
        <f t="shared" si="1016"/>
        <v>#DIV/0!</v>
      </c>
      <c r="N848" s="81">
        <f t="shared" si="1019"/>
        <v>0</v>
      </c>
      <c r="O848" s="81">
        <f t="shared" si="1018"/>
        <v>0</v>
      </c>
      <c r="P848" s="84"/>
      <c r="Q848" s="81"/>
      <c r="R848" s="81"/>
      <c r="S848" s="384"/>
    </row>
    <row r="849" spans="1:19" s="244" customFormat="1" ht="46.5" x14ac:dyDescent="0.25">
      <c r="A849" s="269" t="s">
        <v>331</v>
      </c>
      <c r="B849" s="69" t="s">
        <v>336</v>
      </c>
      <c r="C849" s="75" t="s">
        <v>17</v>
      </c>
      <c r="D849" s="76">
        <f t="shared" ref="D849:I849" si="1020">SUM(D850:D854)</f>
        <v>0</v>
      </c>
      <c r="E849" s="76">
        <f t="shared" si="1020"/>
        <v>0</v>
      </c>
      <c r="F849" s="76">
        <f t="shared" si="1020"/>
        <v>0</v>
      </c>
      <c r="G849" s="76">
        <f t="shared" si="1020"/>
        <v>3051.11</v>
      </c>
      <c r="H849" s="76">
        <f t="shared" si="1020"/>
        <v>3334.83</v>
      </c>
      <c r="I849" s="76">
        <f t="shared" si="1020"/>
        <v>0</v>
      </c>
      <c r="J849" s="39">
        <f>I849/H849</f>
        <v>0</v>
      </c>
      <c r="K849" s="37">
        <f t="shared" ref="K849" si="1021">SUM(K850:K854)</f>
        <v>0</v>
      </c>
      <c r="L849" s="39">
        <f>K849/H849</f>
        <v>0</v>
      </c>
      <c r="M849" s="39" t="e">
        <f>K849/I849</f>
        <v>#DIV/0!</v>
      </c>
      <c r="N849" s="76">
        <f t="shared" ref="N849:O849" si="1022">SUM(N850:N854)</f>
        <v>3052.34</v>
      </c>
      <c r="O849" s="76">
        <f t="shared" si="1022"/>
        <v>282.49</v>
      </c>
      <c r="P849" s="84">
        <f>N849/H849</f>
        <v>0.92</v>
      </c>
      <c r="Q849" s="76"/>
      <c r="R849" s="76"/>
      <c r="S849" s="382" t="s">
        <v>436</v>
      </c>
    </row>
    <row r="850" spans="1:19" s="107" customFormat="1" ht="66.75" customHeight="1" x14ac:dyDescent="0.25">
      <c r="A850" s="266"/>
      <c r="B850" s="163" t="s">
        <v>10</v>
      </c>
      <c r="C850" s="80"/>
      <c r="D850" s="81"/>
      <c r="E850" s="81"/>
      <c r="F850" s="82"/>
      <c r="G850" s="271"/>
      <c r="H850" s="271"/>
      <c r="I850" s="271"/>
      <c r="J850" s="44" t="e">
        <f>I850/H850</f>
        <v>#DIV/0!</v>
      </c>
      <c r="K850" s="41"/>
      <c r="L850" s="44" t="e">
        <f t="shared" ref="L850:L854" si="1023">K850/H850</f>
        <v>#DIV/0!</v>
      </c>
      <c r="M850" s="39" t="e">
        <f t="shared" ref="M850:M854" si="1024">K850/I850</f>
        <v>#DIV/0!</v>
      </c>
      <c r="N850" s="81">
        <f>H850</f>
        <v>0</v>
      </c>
      <c r="O850" s="81">
        <f>H850-N850</f>
        <v>0</v>
      </c>
      <c r="P850" s="84"/>
      <c r="Q850" s="81"/>
      <c r="R850" s="81"/>
      <c r="S850" s="383"/>
    </row>
    <row r="851" spans="1:19" s="107" customFormat="1" ht="63" customHeight="1" x14ac:dyDescent="0.25">
      <c r="A851" s="266"/>
      <c r="B851" s="163" t="s">
        <v>8</v>
      </c>
      <c r="C851" s="80"/>
      <c r="D851" s="81"/>
      <c r="E851" s="81"/>
      <c r="F851" s="81"/>
      <c r="G851" s="197">
        <f>2898552/1000</f>
        <v>2898.55</v>
      </c>
      <c r="H851" s="197">
        <v>3168.09</v>
      </c>
      <c r="I851" s="271"/>
      <c r="J851" s="44">
        <f t="shared" ref="J851:J854" si="1025">I851/H851</f>
        <v>0</v>
      </c>
      <c r="K851" s="41"/>
      <c r="L851" s="44">
        <f t="shared" si="1023"/>
        <v>0</v>
      </c>
      <c r="M851" s="39" t="e">
        <f t="shared" si="1024"/>
        <v>#DIV/0!</v>
      </c>
      <c r="N851" s="81">
        <v>2899.72</v>
      </c>
      <c r="O851" s="81">
        <f t="shared" ref="O851:O854" si="1026">H851-N851</f>
        <v>268.37</v>
      </c>
      <c r="P851" s="84">
        <f>N851/H851</f>
        <v>0.92</v>
      </c>
      <c r="Q851" s="81"/>
      <c r="R851" s="81"/>
      <c r="S851" s="383"/>
    </row>
    <row r="852" spans="1:19" s="107" customFormat="1" ht="30.75" customHeight="1" x14ac:dyDescent="0.25">
      <c r="A852" s="266"/>
      <c r="B852" s="226" t="s">
        <v>19</v>
      </c>
      <c r="C852" s="75"/>
      <c r="D852" s="76"/>
      <c r="E852" s="76"/>
      <c r="F852" s="76"/>
      <c r="G852" s="197">
        <f>152556/1000</f>
        <v>152.56</v>
      </c>
      <c r="H852" s="197">
        <v>166.74</v>
      </c>
      <c r="I852" s="271"/>
      <c r="J852" s="44">
        <f t="shared" si="1025"/>
        <v>0</v>
      </c>
      <c r="K852" s="41"/>
      <c r="L852" s="44">
        <f t="shared" si="1023"/>
        <v>0</v>
      </c>
      <c r="M852" s="39" t="e">
        <f t="shared" si="1024"/>
        <v>#DIV/0!</v>
      </c>
      <c r="N852" s="81">
        <v>152.62</v>
      </c>
      <c r="O852" s="81">
        <f t="shared" si="1026"/>
        <v>14.12</v>
      </c>
      <c r="P852" s="84">
        <f>N852/H852</f>
        <v>0.92</v>
      </c>
      <c r="Q852" s="81"/>
      <c r="R852" s="81"/>
      <c r="S852" s="383"/>
    </row>
    <row r="853" spans="1:19" s="107" customFormat="1" ht="60.75" customHeight="1" x14ac:dyDescent="0.25">
      <c r="A853" s="266"/>
      <c r="B853" s="75" t="s">
        <v>22</v>
      </c>
      <c r="C853" s="75"/>
      <c r="D853" s="76"/>
      <c r="E853" s="76"/>
      <c r="F853" s="79"/>
      <c r="G853" s="271"/>
      <c r="H853" s="271"/>
      <c r="I853" s="271"/>
      <c r="J853" s="44" t="e">
        <f t="shared" si="1025"/>
        <v>#DIV/0!</v>
      </c>
      <c r="K853" s="41"/>
      <c r="L853" s="44" t="e">
        <f t="shared" si="1023"/>
        <v>#DIV/0!</v>
      </c>
      <c r="M853" s="39" t="e">
        <f t="shared" si="1024"/>
        <v>#DIV/0!</v>
      </c>
      <c r="N853" s="81">
        <f t="shared" ref="N853:N854" si="1027">H853</f>
        <v>0</v>
      </c>
      <c r="O853" s="81">
        <f t="shared" si="1026"/>
        <v>0</v>
      </c>
      <c r="P853" s="84"/>
      <c r="Q853" s="81"/>
      <c r="R853" s="81"/>
      <c r="S853" s="383"/>
    </row>
    <row r="854" spans="1:19" s="107" customFormat="1" ht="49.5" customHeight="1" x14ac:dyDescent="0.25">
      <c r="A854" s="267"/>
      <c r="B854" s="226" t="s">
        <v>11</v>
      </c>
      <c r="C854" s="75"/>
      <c r="D854" s="76"/>
      <c r="E854" s="76"/>
      <c r="F854" s="79"/>
      <c r="G854" s="81"/>
      <c r="H854" s="81"/>
      <c r="I854" s="81"/>
      <c r="J854" s="44" t="e">
        <f t="shared" si="1025"/>
        <v>#DIV/0!</v>
      </c>
      <c r="K854" s="41"/>
      <c r="L854" s="44" t="e">
        <f t="shared" si="1023"/>
        <v>#DIV/0!</v>
      </c>
      <c r="M854" s="39" t="e">
        <f t="shared" si="1024"/>
        <v>#DIV/0!</v>
      </c>
      <c r="N854" s="81">
        <f t="shared" si="1027"/>
        <v>0</v>
      </c>
      <c r="O854" s="81">
        <f t="shared" si="1026"/>
        <v>0</v>
      </c>
      <c r="P854" s="84"/>
      <c r="Q854" s="81"/>
      <c r="R854" s="81"/>
      <c r="S854" s="384"/>
    </row>
    <row r="855" spans="1:19" s="244" customFormat="1" ht="69" customHeight="1" x14ac:dyDescent="0.25">
      <c r="A855" s="269" t="s">
        <v>331</v>
      </c>
      <c r="B855" s="69" t="s">
        <v>337</v>
      </c>
      <c r="C855" s="75" t="s">
        <v>17</v>
      </c>
      <c r="D855" s="76">
        <f t="shared" ref="D855:I855" si="1028">SUM(D856:D860)</f>
        <v>0</v>
      </c>
      <c r="E855" s="76">
        <f t="shared" si="1028"/>
        <v>0</v>
      </c>
      <c r="F855" s="76">
        <f t="shared" si="1028"/>
        <v>0</v>
      </c>
      <c r="G855" s="76">
        <f t="shared" si="1028"/>
        <v>6239.57</v>
      </c>
      <c r="H855" s="76">
        <f t="shared" si="1028"/>
        <v>6239.57</v>
      </c>
      <c r="I855" s="76">
        <f t="shared" si="1028"/>
        <v>0</v>
      </c>
      <c r="J855" s="39">
        <f>I855/H855</f>
        <v>0</v>
      </c>
      <c r="K855" s="37">
        <f t="shared" ref="K855" si="1029">SUM(K856:K860)</f>
        <v>0</v>
      </c>
      <c r="L855" s="39">
        <f>K855/H855</f>
        <v>0</v>
      </c>
      <c r="M855" s="39" t="e">
        <f>K855/I855</f>
        <v>#DIV/0!</v>
      </c>
      <c r="N855" s="76">
        <f t="shared" ref="N855:O855" si="1030">SUM(N856:N860)</f>
        <v>6228.96</v>
      </c>
      <c r="O855" s="76">
        <f t="shared" si="1030"/>
        <v>10.61</v>
      </c>
      <c r="P855" s="78">
        <f t="shared" si="998"/>
        <v>1</v>
      </c>
      <c r="Q855" s="76"/>
      <c r="R855" s="76"/>
      <c r="S855" s="382" t="s">
        <v>437</v>
      </c>
    </row>
    <row r="856" spans="1:19" s="107" customFormat="1" ht="55.5" customHeight="1" x14ac:dyDescent="0.25">
      <c r="A856" s="266"/>
      <c r="B856" s="163" t="s">
        <v>10</v>
      </c>
      <c r="C856" s="80"/>
      <c r="D856" s="81"/>
      <c r="E856" s="81"/>
      <c r="F856" s="82"/>
      <c r="G856" s="271"/>
      <c r="H856" s="271"/>
      <c r="I856" s="81"/>
      <c r="J856" s="44" t="e">
        <f>I856/H856</f>
        <v>#DIV/0!</v>
      </c>
      <c r="K856" s="41"/>
      <c r="L856" s="44" t="e">
        <f t="shared" ref="L856:L860" si="1031">K856/H856</f>
        <v>#DIV/0!</v>
      </c>
      <c r="M856" s="39" t="e">
        <f t="shared" ref="M856:M860" si="1032">K856/I856</f>
        <v>#DIV/0!</v>
      </c>
      <c r="N856" s="81">
        <f>H856</f>
        <v>0</v>
      </c>
      <c r="O856" s="81">
        <f>H856-N856</f>
        <v>0</v>
      </c>
      <c r="P856" s="44" t="e">
        <f t="shared" si="998"/>
        <v>#DIV/0!</v>
      </c>
      <c r="Q856" s="81"/>
      <c r="R856" s="81"/>
      <c r="S856" s="383"/>
    </row>
    <row r="857" spans="1:19" s="107" customFormat="1" ht="40.5" customHeight="1" x14ac:dyDescent="0.25">
      <c r="A857" s="266"/>
      <c r="B857" s="163" t="s">
        <v>8</v>
      </c>
      <c r="C857" s="80"/>
      <c r="D857" s="81"/>
      <c r="E857" s="81"/>
      <c r="F857" s="81"/>
      <c r="G857" s="197">
        <f>5927593/1000</f>
        <v>5927.59</v>
      </c>
      <c r="H857" s="197">
        <f>5927593/1000</f>
        <v>5927.59</v>
      </c>
      <c r="I857" s="81"/>
      <c r="J857" s="44">
        <f t="shared" ref="J857:J860" si="1033">I857/H857</f>
        <v>0</v>
      </c>
      <c r="K857" s="41"/>
      <c r="L857" s="44">
        <f t="shared" si="1031"/>
        <v>0</v>
      </c>
      <c r="M857" s="39" t="e">
        <f t="shared" si="1032"/>
        <v>#DIV/0!</v>
      </c>
      <c r="N857" s="81">
        <v>5917.51</v>
      </c>
      <c r="O857" s="81">
        <f t="shared" ref="O857:O860" si="1034">H857-N857</f>
        <v>10.08</v>
      </c>
      <c r="P857" s="84">
        <f t="shared" si="998"/>
        <v>1</v>
      </c>
      <c r="Q857" s="81"/>
      <c r="R857" s="81"/>
      <c r="S857" s="383"/>
    </row>
    <row r="858" spans="1:19" s="107" customFormat="1" ht="27" customHeight="1" x14ac:dyDescent="0.25">
      <c r="A858" s="266"/>
      <c r="B858" s="226" t="s">
        <v>19</v>
      </c>
      <c r="C858" s="75"/>
      <c r="D858" s="76"/>
      <c r="E858" s="76"/>
      <c r="F858" s="76"/>
      <c r="G858" s="197">
        <f>311979/1000</f>
        <v>311.98</v>
      </c>
      <c r="H858" s="197">
        <f>311979/1000</f>
        <v>311.98</v>
      </c>
      <c r="I858" s="81"/>
      <c r="J858" s="44">
        <f t="shared" si="1033"/>
        <v>0</v>
      </c>
      <c r="K858" s="41"/>
      <c r="L858" s="44">
        <f t="shared" si="1031"/>
        <v>0</v>
      </c>
      <c r="M858" s="39" t="e">
        <f t="shared" si="1032"/>
        <v>#DIV/0!</v>
      </c>
      <c r="N858" s="81">
        <v>311.45</v>
      </c>
      <c r="O858" s="81">
        <f t="shared" si="1034"/>
        <v>0.53</v>
      </c>
      <c r="P858" s="84">
        <f t="shared" si="998"/>
        <v>1</v>
      </c>
      <c r="Q858" s="81"/>
      <c r="R858" s="81"/>
      <c r="S858" s="383"/>
    </row>
    <row r="859" spans="1:19" s="107" customFormat="1" ht="27" customHeight="1" x14ac:dyDescent="0.25">
      <c r="A859" s="266"/>
      <c r="B859" s="75" t="s">
        <v>22</v>
      </c>
      <c r="C859" s="75"/>
      <c r="D859" s="76"/>
      <c r="E859" s="76"/>
      <c r="F859" s="79"/>
      <c r="G859" s="271"/>
      <c r="H859" s="271"/>
      <c r="I859" s="81"/>
      <c r="J859" s="44" t="e">
        <f t="shared" si="1033"/>
        <v>#DIV/0!</v>
      </c>
      <c r="K859" s="41"/>
      <c r="L859" s="44" t="e">
        <f t="shared" si="1031"/>
        <v>#DIV/0!</v>
      </c>
      <c r="M859" s="39" t="e">
        <f t="shared" si="1032"/>
        <v>#DIV/0!</v>
      </c>
      <c r="N859" s="81">
        <f t="shared" ref="N859:N860" si="1035">H859</f>
        <v>0</v>
      </c>
      <c r="O859" s="81">
        <f t="shared" si="1034"/>
        <v>0</v>
      </c>
      <c r="P859" s="44" t="e">
        <f t="shared" si="998"/>
        <v>#DIV/0!</v>
      </c>
      <c r="Q859" s="81"/>
      <c r="R859" s="81"/>
      <c r="S859" s="383"/>
    </row>
    <row r="860" spans="1:19" s="107" customFormat="1" ht="51.75" customHeight="1" x14ac:dyDescent="0.25">
      <c r="A860" s="267"/>
      <c r="B860" s="226" t="s">
        <v>11</v>
      </c>
      <c r="C860" s="75"/>
      <c r="D860" s="76"/>
      <c r="E860" s="76"/>
      <c r="F860" s="79"/>
      <c r="G860" s="81"/>
      <c r="H860" s="81"/>
      <c r="I860" s="81"/>
      <c r="J860" s="44" t="e">
        <f t="shared" si="1033"/>
        <v>#DIV/0!</v>
      </c>
      <c r="K860" s="41"/>
      <c r="L860" s="44" t="e">
        <f t="shared" si="1031"/>
        <v>#DIV/0!</v>
      </c>
      <c r="M860" s="39" t="e">
        <f t="shared" si="1032"/>
        <v>#DIV/0!</v>
      </c>
      <c r="N860" s="81">
        <f t="shared" si="1035"/>
        <v>0</v>
      </c>
      <c r="O860" s="81">
        <f t="shared" si="1034"/>
        <v>0</v>
      </c>
      <c r="P860" s="44" t="e">
        <f t="shared" si="998"/>
        <v>#DIV/0!</v>
      </c>
      <c r="Q860" s="81"/>
      <c r="R860" s="81"/>
      <c r="S860" s="384"/>
    </row>
    <row r="861" spans="1:19" s="244" customFormat="1" ht="57.75" customHeight="1" x14ac:dyDescent="0.25">
      <c r="A861" s="269" t="s">
        <v>331</v>
      </c>
      <c r="B861" s="69" t="s">
        <v>338</v>
      </c>
      <c r="C861" s="75" t="s">
        <v>17</v>
      </c>
      <c r="D861" s="76">
        <f t="shared" ref="D861:I861" si="1036">SUM(D862:D866)</f>
        <v>0</v>
      </c>
      <c r="E861" s="76">
        <f t="shared" si="1036"/>
        <v>0</v>
      </c>
      <c r="F861" s="76">
        <f t="shared" si="1036"/>
        <v>0</v>
      </c>
      <c r="G861" s="197">
        <f t="shared" si="1036"/>
        <v>11104.16</v>
      </c>
      <c r="H861" s="197">
        <f t="shared" si="1036"/>
        <v>11104.16</v>
      </c>
      <c r="I861" s="76">
        <f t="shared" si="1036"/>
        <v>0</v>
      </c>
      <c r="J861" s="39">
        <f>I861/H861</f>
        <v>0</v>
      </c>
      <c r="K861" s="37">
        <f t="shared" ref="K861" si="1037">SUM(K862:K866)</f>
        <v>0</v>
      </c>
      <c r="L861" s="39">
        <f>K861/H861</f>
        <v>0</v>
      </c>
      <c r="M861" s="39" t="e">
        <f>K861/I861</f>
        <v>#DIV/0!</v>
      </c>
      <c r="N861" s="76">
        <f t="shared" ref="N861:O861" si="1038">SUM(N862:N866)</f>
        <v>11104.09</v>
      </c>
      <c r="O861" s="76">
        <f t="shared" si="1038"/>
        <v>7.0000000000000007E-2</v>
      </c>
      <c r="P861" s="78">
        <f t="shared" si="998"/>
        <v>1</v>
      </c>
      <c r="Q861" s="76"/>
      <c r="R861" s="76"/>
      <c r="S861" s="382" t="s">
        <v>438</v>
      </c>
    </row>
    <row r="862" spans="1:19" s="107" customFormat="1" ht="27" customHeight="1" x14ac:dyDescent="0.25">
      <c r="A862" s="266"/>
      <c r="B862" s="163" t="s">
        <v>10</v>
      </c>
      <c r="C862" s="80"/>
      <c r="D862" s="81"/>
      <c r="E862" s="81"/>
      <c r="F862" s="82"/>
      <c r="G862" s="271"/>
      <c r="H862" s="271"/>
      <c r="I862" s="81"/>
      <c r="J862" s="44" t="e">
        <f>I862/H862</f>
        <v>#DIV/0!</v>
      </c>
      <c r="K862" s="41"/>
      <c r="L862" s="44" t="e">
        <f t="shared" ref="L862:L866" si="1039">K862/H862</f>
        <v>#DIV/0!</v>
      </c>
      <c r="M862" s="39" t="e">
        <f t="shared" ref="M862:M866" si="1040">K862/I862</f>
        <v>#DIV/0!</v>
      </c>
      <c r="N862" s="81">
        <f>H862</f>
        <v>0</v>
      </c>
      <c r="O862" s="81">
        <f>H862-N862</f>
        <v>0</v>
      </c>
      <c r="P862" s="44" t="e">
        <f t="shared" si="998"/>
        <v>#DIV/0!</v>
      </c>
      <c r="Q862" s="81"/>
      <c r="R862" s="81"/>
      <c r="S862" s="383"/>
    </row>
    <row r="863" spans="1:19" s="107" customFormat="1" ht="27" customHeight="1" x14ac:dyDescent="0.25">
      <c r="A863" s="266"/>
      <c r="B863" s="163" t="s">
        <v>8</v>
      </c>
      <c r="C863" s="80"/>
      <c r="D863" s="81"/>
      <c r="E863" s="81"/>
      <c r="F863" s="81"/>
      <c r="G863" s="197">
        <f>10548952/1000</f>
        <v>10548.95</v>
      </c>
      <c r="H863" s="197">
        <f>10548952/1000</f>
        <v>10548.95</v>
      </c>
      <c r="I863" s="81"/>
      <c r="J863" s="44">
        <f t="shared" ref="J863:J866" si="1041">I863/H863</f>
        <v>0</v>
      </c>
      <c r="K863" s="41"/>
      <c r="L863" s="44">
        <f t="shared" si="1039"/>
        <v>0</v>
      </c>
      <c r="M863" s="39" t="e">
        <f t="shared" si="1040"/>
        <v>#DIV/0!</v>
      </c>
      <c r="N863" s="81">
        <v>10548.89</v>
      </c>
      <c r="O863" s="81">
        <f t="shared" ref="O863:O866" si="1042">H863-N863</f>
        <v>0.06</v>
      </c>
      <c r="P863" s="84">
        <f t="shared" si="998"/>
        <v>1</v>
      </c>
      <c r="Q863" s="81"/>
      <c r="R863" s="81"/>
      <c r="S863" s="383"/>
    </row>
    <row r="864" spans="1:19" s="107" customFormat="1" ht="27" customHeight="1" x14ac:dyDescent="0.25">
      <c r="A864" s="266"/>
      <c r="B864" s="226" t="s">
        <v>19</v>
      </c>
      <c r="C864" s="75"/>
      <c r="D864" s="76"/>
      <c r="E864" s="76"/>
      <c r="F864" s="76"/>
      <c r="G864" s="197">
        <f>555208/1000</f>
        <v>555.21</v>
      </c>
      <c r="H864" s="197">
        <f>555208/1000</f>
        <v>555.21</v>
      </c>
      <c r="I864" s="81"/>
      <c r="J864" s="44">
        <f t="shared" si="1041"/>
        <v>0</v>
      </c>
      <c r="K864" s="41"/>
      <c r="L864" s="44">
        <f t="shared" si="1039"/>
        <v>0</v>
      </c>
      <c r="M864" s="39" t="e">
        <f t="shared" si="1040"/>
        <v>#DIV/0!</v>
      </c>
      <c r="N864" s="81">
        <v>555.20000000000005</v>
      </c>
      <c r="O864" s="81">
        <f t="shared" si="1042"/>
        <v>0.01</v>
      </c>
      <c r="P864" s="84">
        <f t="shared" si="998"/>
        <v>1</v>
      </c>
      <c r="Q864" s="81"/>
      <c r="R864" s="81"/>
      <c r="S864" s="383"/>
    </row>
    <row r="865" spans="1:21" s="107" customFormat="1" ht="27" customHeight="1" x14ac:dyDescent="0.25">
      <c r="A865" s="266"/>
      <c r="B865" s="75" t="s">
        <v>22</v>
      </c>
      <c r="C865" s="75"/>
      <c r="D865" s="76"/>
      <c r="E865" s="76"/>
      <c r="F865" s="79"/>
      <c r="G865" s="81"/>
      <c r="H865" s="81"/>
      <c r="I865" s="81"/>
      <c r="J865" s="44" t="e">
        <f t="shared" si="1041"/>
        <v>#DIV/0!</v>
      </c>
      <c r="K865" s="41"/>
      <c r="L865" s="44" t="e">
        <f t="shared" si="1039"/>
        <v>#DIV/0!</v>
      </c>
      <c r="M865" s="39" t="e">
        <f t="shared" si="1040"/>
        <v>#DIV/0!</v>
      </c>
      <c r="N865" s="81">
        <f t="shared" ref="N865:N866" si="1043">H865</f>
        <v>0</v>
      </c>
      <c r="O865" s="81">
        <f t="shared" si="1042"/>
        <v>0</v>
      </c>
      <c r="P865" s="44" t="e">
        <f t="shared" si="998"/>
        <v>#DIV/0!</v>
      </c>
      <c r="Q865" s="81"/>
      <c r="R865" s="81"/>
      <c r="S865" s="383"/>
    </row>
    <row r="866" spans="1:21" s="107" customFormat="1" ht="80.25" customHeight="1" x14ac:dyDescent="0.25">
      <c r="A866" s="267"/>
      <c r="B866" s="226" t="s">
        <v>11</v>
      </c>
      <c r="C866" s="75"/>
      <c r="D866" s="76"/>
      <c r="E866" s="76"/>
      <c r="F866" s="79"/>
      <c r="G866" s="81"/>
      <c r="H866" s="81"/>
      <c r="I866" s="81"/>
      <c r="J866" s="44" t="e">
        <f t="shared" si="1041"/>
        <v>#DIV/0!</v>
      </c>
      <c r="K866" s="41"/>
      <c r="L866" s="44" t="e">
        <f t="shared" si="1039"/>
        <v>#DIV/0!</v>
      </c>
      <c r="M866" s="39" t="e">
        <f t="shared" si="1040"/>
        <v>#DIV/0!</v>
      </c>
      <c r="N866" s="81">
        <f t="shared" si="1043"/>
        <v>0</v>
      </c>
      <c r="O866" s="81">
        <f t="shared" si="1042"/>
        <v>0</v>
      </c>
      <c r="P866" s="44" t="e">
        <f t="shared" si="998"/>
        <v>#DIV/0!</v>
      </c>
      <c r="Q866" s="81"/>
      <c r="R866" s="81"/>
      <c r="S866" s="384"/>
    </row>
    <row r="867" spans="1:21" s="244" customFormat="1" ht="63" customHeight="1" x14ac:dyDescent="0.25">
      <c r="A867" s="269" t="s">
        <v>331</v>
      </c>
      <c r="B867" s="69" t="s">
        <v>339</v>
      </c>
      <c r="C867" s="75" t="s">
        <v>17</v>
      </c>
      <c r="D867" s="76">
        <f t="shared" ref="D867:I867" si="1044">SUM(D868:D872)</f>
        <v>0</v>
      </c>
      <c r="E867" s="76">
        <f t="shared" si="1044"/>
        <v>0</v>
      </c>
      <c r="F867" s="76">
        <f t="shared" si="1044"/>
        <v>0</v>
      </c>
      <c r="G867" s="197">
        <f t="shared" si="1044"/>
        <v>10397.43</v>
      </c>
      <c r="H867" s="197">
        <f t="shared" si="1044"/>
        <v>10397.43</v>
      </c>
      <c r="I867" s="197">
        <f t="shared" si="1044"/>
        <v>0</v>
      </c>
      <c r="J867" s="39">
        <f>I867/H867</f>
        <v>0</v>
      </c>
      <c r="K867" s="37">
        <f t="shared" ref="K867" si="1045">SUM(K868:K872)</f>
        <v>0</v>
      </c>
      <c r="L867" s="39">
        <f>K867/H867</f>
        <v>0</v>
      </c>
      <c r="M867" s="39" t="e">
        <f>K867/I867</f>
        <v>#DIV/0!</v>
      </c>
      <c r="N867" s="76">
        <f t="shared" ref="N867:O867" si="1046">SUM(N868:N872)</f>
        <v>10397.36</v>
      </c>
      <c r="O867" s="76">
        <f t="shared" si="1046"/>
        <v>7.0000000000000007E-2</v>
      </c>
      <c r="P867" s="78">
        <f t="shared" si="998"/>
        <v>1</v>
      </c>
      <c r="Q867" s="76"/>
      <c r="R867" s="76"/>
      <c r="S867" s="382" t="s">
        <v>439</v>
      </c>
    </row>
    <row r="868" spans="1:21" s="107" customFormat="1" x14ac:dyDescent="0.25">
      <c r="A868" s="266"/>
      <c r="B868" s="163" t="s">
        <v>10</v>
      </c>
      <c r="C868" s="80"/>
      <c r="D868" s="81"/>
      <c r="E868" s="81"/>
      <c r="F868" s="82"/>
      <c r="G868" s="271"/>
      <c r="H868" s="271"/>
      <c r="I868" s="271"/>
      <c r="J868" s="44" t="e">
        <f>I868/H868</f>
        <v>#DIV/0!</v>
      </c>
      <c r="K868" s="41"/>
      <c r="L868" s="44" t="e">
        <f t="shared" ref="L868:L872" si="1047">K868/H868</f>
        <v>#DIV/0!</v>
      </c>
      <c r="M868" s="39" t="e">
        <f t="shared" ref="M868:M872" si="1048">K868/I868</f>
        <v>#DIV/0!</v>
      </c>
      <c r="N868" s="81">
        <f>H868</f>
        <v>0</v>
      </c>
      <c r="O868" s="81">
        <f>H868-N868</f>
        <v>0</v>
      </c>
      <c r="P868" s="44" t="e">
        <f t="shared" si="998"/>
        <v>#DIV/0!</v>
      </c>
      <c r="Q868" s="81"/>
      <c r="R868" s="81"/>
      <c r="S868" s="383"/>
    </row>
    <row r="869" spans="1:21" s="107" customFormat="1" x14ac:dyDescent="0.25">
      <c r="A869" s="266"/>
      <c r="B869" s="163" t="s">
        <v>8</v>
      </c>
      <c r="C869" s="80"/>
      <c r="D869" s="81"/>
      <c r="E869" s="81"/>
      <c r="F869" s="81"/>
      <c r="G869" s="197">
        <f>9877554/1000+0.01</f>
        <v>9877.56</v>
      </c>
      <c r="H869" s="197">
        <f>9877554/1000+0.01</f>
        <v>9877.56</v>
      </c>
      <c r="I869" s="271"/>
      <c r="J869" s="44">
        <f t="shared" ref="J869:J872" si="1049">I869/H869</f>
        <v>0</v>
      </c>
      <c r="K869" s="41"/>
      <c r="L869" s="44">
        <f t="shared" si="1047"/>
        <v>0</v>
      </c>
      <c r="M869" s="39" t="e">
        <f t="shared" si="1048"/>
        <v>#DIV/0!</v>
      </c>
      <c r="N869" s="81">
        <v>9877.49</v>
      </c>
      <c r="O869" s="81">
        <f t="shared" ref="O869:O872" si="1050">H869-N869</f>
        <v>7.0000000000000007E-2</v>
      </c>
      <c r="P869" s="84">
        <f t="shared" si="998"/>
        <v>1</v>
      </c>
      <c r="Q869" s="81"/>
      <c r="R869" s="81"/>
      <c r="S869" s="383"/>
    </row>
    <row r="870" spans="1:21" s="107" customFormat="1" x14ac:dyDescent="0.25">
      <c r="A870" s="266"/>
      <c r="B870" s="226" t="s">
        <v>19</v>
      </c>
      <c r="C870" s="75"/>
      <c r="D870" s="76"/>
      <c r="E870" s="76"/>
      <c r="F870" s="76"/>
      <c r="G870" s="197">
        <f>519871/1000</f>
        <v>519.87</v>
      </c>
      <c r="H870" s="197">
        <f>519871/1000</f>
        <v>519.87</v>
      </c>
      <c r="I870" s="271"/>
      <c r="J870" s="44">
        <f t="shared" si="1049"/>
        <v>0</v>
      </c>
      <c r="K870" s="41"/>
      <c r="L870" s="44">
        <f t="shared" si="1047"/>
        <v>0</v>
      </c>
      <c r="M870" s="39" t="e">
        <f t="shared" si="1048"/>
        <v>#DIV/0!</v>
      </c>
      <c r="N870" s="81">
        <f t="shared" ref="N870:N872" si="1051">H870</f>
        <v>519.87</v>
      </c>
      <c r="O870" s="81">
        <f t="shared" si="1050"/>
        <v>0</v>
      </c>
      <c r="P870" s="84">
        <f t="shared" si="998"/>
        <v>1</v>
      </c>
      <c r="Q870" s="81"/>
      <c r="R870" s="81"/>
      <c r="S870" s="383"/>
    </row>
    <row r="871" spans="1:21" s="107" customFormat="1" x14ac:dyDescent="0.25">
      <c r="A871" s="266"/>
      <c r="B871" s="75" t="s">
        <v>22</v>
      </c>
      <c r="C871" s="75"/>
      <c r="D871" s="76"/>
      <c r="E871" s="76"/>
      <c r="F871" s="79"/>
      <c r="G871" s="81"/>
      <c r="H871" s="81"/>
      <c r="I871" s="81"/>
      <c r="J871" s="44" t="e">
        <f t="shared" si="1049"/>
        <v>#DIV/0!</v>
      </c>
      <c r="K871" s="41"/>
      <c r="L871" s="44" t="e">
        <f t="shared" si="1047"/>
        <v>#DIV/0!</v>
      </c>
      <c r="M871" s="39" t="e">
        <f t="shared" si="1048"/>
        <v>#DIV/0!</v>
      </c>
      <c r="N871" s="81">
        <f t="shared" si="1051"/>
        <v>0</v>
      </c>
      <c r="O871" s="81">
        <f t="shared" si="1050"/>
        <v>0</v>
      </c>
      <c r="P871" s="84"/>
      <c r="Q871" s="81"/>
      <c r="R871" s="81"/>
      <c r="S871" s="383"/>
    </row>
    <row r="872" spans="1:21" s="107" customFormat="1" ht="72" customHeight="1" x14ac:dyDescent="0.25">
      <c r="A872" s="267"/>
      <c r="B872" s="226" t="s">
        <v>11</v>
      </c>
      <c r="C872" s="75"/>
      <c r="D872" s="76"/>
      <c r="E872" s="76"/>
      <c r="F872" s="79"/>
      <c r="G872" s="81"/>
      <c r="H872" s="81"/>
      <c r="I872" s="81"/>
      <c r="J872" s="44" t="e">
        <f t="shared" si="1049"/>
        <v>#DIV/0!</v>
      </c>
      <c r="K872" s="41"/>
      <c r="L872" s="44" t="e">
        <f t="shared" si="1047"/>
        <v>#DIV/0!</v>
      </c>
      <c r="M872" s="39" t="e">
        <f t="shared" si="1048"/>
        <v>#DIV/0!</v>
      </c>
      <c r="N872" s="81">
        <f t="shared" si="1051"/>
        <v>0</v>
      </c>
      <c r="O872" s="81">
        <f t="shared" si="1050"/>
        <v>0</v>
      </c>
      <c r="P872" s="84"/>
      <c r="Q872" s="81"/>
      <c r="R872" s="81"/>
      <c r="S872" s="384"/>
    </row>
    <row r="873" spans="1:21" s="244" customFormat="1" ht="63.75" customHeight="1" x14ac:dyDescent="0.25">
      <c r="A873" s="269" t="s">
        <v>331</v>
      </c>
      <c r="B873" s="69" t="s">
        <v>340</v>
      </c>
      <c r="C873" s="75" t="s">
        <v>17</v>
      </c>
      <c r="D873" s="76">
        <f t="shared" ref="D873:I873" si="1052">SUM(D874:D878)</f>
        <v>0</v>
      </c>
      <c r="E873" s="76">
        <f t="shared" si="1052"/>
        <v>0</v>
      </c>
      <c r="F873" s="76">
        <f t="shared" si="1052"/>
        <v>0</v>
      </c>
      <c r="G873" s="76">
        <f t="shared" si="1052"/>
        <v>8781.7900000000009</v>
      </c>
      <c r="H873" s="76">
        <f t="shared" si="1052"/>
        <v>12526.43</v>
      </c>
      <c r="I873" s="76">
        <f t="shared" si="1052"/>
        <v>0</v>
      </c>
      <c r="J873" s="39">
        <f>I873/H873</f>
        <v>0</v>
      </c>
      <c r="K873" s="37">
        <f t="shared" ref="K873" si="1053">SUM(K874:K878)</f>
        <v>0</v>
      </c>
      <c r="L873" s="39">
        <f>K873/H873</f>
        <v>0</v>
      </c>
      <c r="M873" s="39" t="e">
        <f>K873/I873</f>
        <v>#DIV/0!</v>
      </c>
      <c r="N873" s="76">
        <f t="shared" ref="N873:O873" si="1054">SUM(N874:N878)</f>
        <v>11465.35</v>
      </c>
      <c r="O873" s="76">
        <f t="shared" si="1054"/>
        <v>1061.08</v>
      </c>
      <c r="P873" s="84">
        <f>N873/H873</f>
        <v>0.92</v>
      </c>
      <c r="Q873" s="76"/>
      <c r="R873" s="76"/>
      <c r="S873" s="382" t="s">
        <v>440</v>
      </c>
    </row>
    <row r="874" spans="1:21" s="107" customFormat="1" ht="59.25" customHeight="1" x14ac:dyDescent="0.25">
      <c r="A874" s="266"/>
      <c r="B874" s="163" t="s">
        <v>10</v>
      </c>
      <c r="C874" s="80"/>
      <c r="D874" s="81"/>
      <c r="E874" s="81"/>
      <c r="F874" s="82"/>
      <c r="G874" s="271"/>
      <c r="H874" s="271"/>
      <c r="I874" s="81"/>
      <c r="J874" s="44" t="e">
        <f>I874/H874</f>
        <v>#DIV/0!</v>
      </c>
      <c r="K874" s="41"/>
      <c r="L874" s="44" t="e">
        <f t="shared" ref="L874:L878" si="1055">K874/H874</f>
        <v>#DIV/0!</v>
      </c>
      <c r="M874" s="39" t="e">
        <f t="shared" ref="M874:M878" si="1056">K874/I874</f>
        <v>#DIV/0!</v>
      </c>
      <c r="N874" s="81">
        <f>H874</f>
        <v>0</v>
      </c>
      <c r="O874" s="81">
        <f>H874-N874</f>
        <v>0</v>
      </c>
      <c r="P874" s="84"/>
      <c r="Q874" s="81"/>
      <c r="R874" s="81"/>
      <c r="S874" s="383"/>
    </row>
    <row r="875" spans="1:21" s="107" customFormat="1" ht="34.5" customHeight="1" x14ac:dyDescent="0.25">
      <c r="A875" s="266"/>
      <c r="B875" s="163" t="s">
        <v>8</v>
      </c>
      <c r="C875" s="80"/>
      <c r="D875" s="81"/>
      <c r="E875" s="81"/>
      <c r="F875" s="81"/>
      <c r="G875" s="197">
        <f>8342697/1000</f>
        <v>8342.7000000000007</v>
      </c>
      <c r="H875" s="197">
        <v>11900.11</v>
      </c>
      <c r="I875" s="81"/>
      <c r="J875" s="44">
        <f t="shared" ref="J875:J878" si="1057">I875/H875</f>
        <v>0</v>
      </c>
      <c r="K875" s="41"/>
      <c r="L875" s="44">
        <f t="shared" si="1055"/>
        <v>0</v>
      </c>
      <c r="M875" s="39" t="e">
        <f t="shared" si="1056"/>
        <v>#DIV/0!</v>
      </c>
      <c r="N875" s="81">
        <v>10892.08</v>
      </c>
      <c r="O875" s="81">
        <f t="shared" ref="O875:O878" si="1058">H875-N875</f>
        <v>1008.03</v>
      </c>
      <c r="P875" s="84">
        <f>N875/H875</f>
        <v>0.92</v>
      </c>
      <c r="Q875" s="81"/>
      <c r="R875" s="81"/>
      <c r="S875" s="383"/>
    </row>
    <row r="876" spans="1:21" s="107" customFormat="1" ht="57" customHeight="1" x14ac:dyDescent="0.25">
      <c r="A876" s="266"/>
      <c r="B876" s="226" t="s">
        <v>19</v>
      </c>
      <c r="C876" s="75"/>
      <c r="D876" s="76"/>
      <c r="E876" s="76"/>
      <c r="F876" s="76"/>
      <c r="G876" s="197">
        <f>439089/1000</f>
        <v>439.09</v>
      </c>
      <c r="H876" s="197">
        <v>626.32000000000005</v>
      </c>
      <c r="I876" s="81"/>
      <c r="J876" s="44">
        <f t="shared" si="1057"/>
        <v>0</v>
      </c>
      <c r="K876" s="41"/>
      <c r="L876" s="44">
        <f t="shared" si="1055"/>
        <v>0</v>
      </c>
      <c r="M876" s="39" t="e">
        <f t="shared" si="1056"/>
        <v>#DIV/0!</v>
      </c>
      <c r="N876" s="81">
        <v>573.27</v>
      </c>
      <c r="O876" s="81">
        <f t="shared" si="1058"/>
        <v>53.05</v>
      </c>
      <c r="P876" s="84">
        <f>N876/H876</f>
        <v>0.92</v>
      </c>
      <c r="Q876" s="81"/>
      <c r="R876" s="81"/>
      <c r="S876" s="383"/>
    </row>
    <row r="877" spans="1:21" s="107" customFormat="1" ht="93" customHeight="1" x14ac:dyDescent="0.25">
      <c r="A877" s="266"/>
      <c r="B877" s="75" t="s">
        <v>22</v>
      </c>
      <c r="C877" s="75"/>
      <c r="D877" s="76"/>
      <c r="E877" s="76"/>
      <c r="F877" s="79"/>
      <c r="G877" s="271"/>
      <c r="H877" s="271"/>
      <c r="I877" s="81"/>
      <c r="J877" s="44" t="e">
        <f t="shared" si="1057"/>
        <v>#DIV/0!</v>
      </c>
      <c r="K877" s="41"/>
      <c r="L877" s="44" t="e">
        <f t="shared" si="1055"/>
        <v>#DIV/0!</v>
      </c>
      <c r="M877" s="39" t="e">
        <f t="shared" si="1056"/>
        <v>#DIV/0!</v>
      </c>
      <c r="N877" s="81">
        <f t="shared" ref="N877:N878" si="1059">H877</f>
        <v>0</v>
      </c>
      <c r="O877" s="81">
        <f t="shared" si="1058"/>
        <v>0</v>
      </c>
      <c r="P877" s="44" t="e">
        <f t="shared" si="998"/>
        <v>#DIV/0!</v>
      </c>
      <c r="Q877" s="81"/>
      <c r="R877" s="81"/>
      <c r="S877" s="383"/>
    </row>
    <row r="878" spans="1:21" s="107" customFormat="1" ht="104.25" customHeight="1" x14ac:dyDescent="0.25">
      <c r="A878" s="267"/>
      <c r="B878" s="226" t="s">
        <v>11</v>
      </c>
      <c r="C878" s="75"/>
      <c r="D878" s="76"/>
      <c r="E878" s="76"/>
      <c r="F878" s="79"/>
      <c r="G878" s="81"/>
      <c r="H878" s="81"/>
      <c r="I878" s="81"/>
      <c r="J878" s="44" t="e">
        <f t="shared" si="1057"/>
        <v>#DIV/0!</v>
      </c>
      <c r="K878" s="41"/>
      <c r="L878" s="44" t="e">
        <f t="shared" si="1055"/>
        <v>#DIV/0!</v>
      </c>
      <c r="M878" s="39" t="e">
        <f t="shared" si="1056"/>
        <v>#DIV/0!</v>
      </c>
      <c r="N878" s="81">
        <f t="shared" si="1059"/>
        <v>0</v>
      </c>
      <c r="O878" s="81">
        <f t="shared" si="1058"/>
        <v>0</v>
      </c>
      <c r="P878" s="44" t="e">
        <f t="shared" si="998"/>
        <v>#DIV/0!</v>
      </c>
      <c r="Q878" s="81"/>
      <c r="R878" s="81"/>
      <c r="S878" s="384"/>
    </row>
    <row r="879" spans="1:21" s="244" customFormat="1" ht="81" customHeight="1" x14ac:dyDescent="0.25">
      <c r="A879" s="269" t="s">
        <v>331</v>
      </c>
      <c r="B879" s="69" t="s">
        <v>341</v>
      </c>
      <c r="C879" s="75" t="s">
        <v>17</v>
      </c>
      <c r="D879" s="76">
        <f t="shared" ref="D879:I879" si="1060">SUM(D880:D884)</f>
        <v>0</v>
      </c>
      <c r="E879" s="76">
        <f t="shared" si="1060"/>
        <v>0</v>
      </c>
      <c r="F879" s="76">
        <f t="shared" si="1060"/>
        <v>0</v>
      </c>
      <c r="G879" s="76">
        <f t="shared" si="1060"/>
        <v>47830.25</v>
      </c>
      <c r="H879" s="76">
        <f t="shared" si="1060"/>
        <v>47830.25</v>
      </c>
      <c r="I879" s="76">
        <f t="shared" si="1060"/>
        <v>0</v>
      </c>
      <c r="J879" s="39">
        <f>I879/H879</f>
        <v>0</v>
      </c>
      <c r="K879" s="37">
        <f t="shared" ref="K879" si="1061">SUM(K880:K884)</f>
        <v>0</v>
      </c>
      <c r="L879" s="39">
        <f>K879/H879</f>
        <v>0</v>
      </c>
      <c r="M879" s="39" t="e">
        <f>K879/I879</f>
        <v>#DIV/0!</v>
      </c>
      <c r="N879" s="76">
        <f t="shared" ref="N879:O879" si="1062">SUM(N880:N884)</f>
        <v>47690.26</v>
      </c>
      <c r="O879" s="76">
        <f t="shared" si="1062"/>
        <v>139.99</v>
      </c>
      <c r="P879" s="78">
        <f t="shared" si="998"/>
        <v>1</v>
      </c>
      <c r="Q879" s="76"/>
      <c r="R879" s="76"/>
      <c r="S879" s="385" t="s">
        <v>441</v>
      </c>
      <c r="U879" s="309" t="e">
        <f>H821-#REF!-#REF!</f>
        <v>#REF!</v>
      </c>
    </row>
    <row r="880" spans="1:21" s="107" customFormat="1" ht="53.25" customHeight="1" x14ac:dyDescent="0.25">
      <c r="A880" s="266"/>
      <c r="B880" s="163" t="s">
        <v>10</v>
      </c>
      <c r="C880" s="80"/>
      <c r="D880" s="81"/>
      <c r="E880" s="81"/>
      <c r="F880" s="82"/>
      <c r="G880" s="271"/>
      <c r="H880" s="271"/>
      <c r="I880" s="271"/>
      <c r="J880" s="44" t="e">
        <f>I880/H880</f>
        <v>#DIV/0!</v>
      </c>
      <c r="K880" s="41"/>
      <c r="L880" s="44" t="e">
        <f t="shared" ref="L880:L884" si="1063">K880/H880</f>
        <v>#DIV/0!</v>
      </c>
      <c r="M880" s="39" t="e">
        <f t="shared" ref="M880:M884" si="1064">K880/I880</f>
        <v>#DIV/0!</v>
      </c>
      <c r="N880" s="81">
        <f>H880</f>
        <v>0</v>
      </c>
      <c r="O880" s="81">
        <f>H880-N880</f>
        <v>0</v>
      </c>
      <c r="P880" s="44" t="e">
        <f t="shared" si="998"/>
        <v>#DIV/0!</v>
      </c>
      <c r="Q880" s="81"/>
      <c r="R880" s="81"/>
      <c r="S880" s="383"/>
      <c r="U880" s="310" t="e">
        <f>H822-#REF!-#REF!</f>
        <v>#REF!</v>
      </c>
    </row>
    <row r="881" spans="1:19" s="107" customFormat="1" x14ac:dyDescent="0.25">
      <c r="A881" s="266"/>
      <c r="B881" s="163" t="s">
        <v>8</v>
      </c>
      <c r="C881" s="80"/>
      <c r="D881" s="81"/>
      <c r="E881" s="81"/>
      <c r="F881" s="81"/>
      <c r="G881" s="197">
        <f>44471794/1000</f>
        <v>44471.79</v>
      </c>
      <c r="H881" s="197">
        <f>44471794/1000</f>
        <v>44471.79</v>
      </c>
      <c r="I881" s="271"/>
      <c r="J881" s="44">
        <f t="shared" ref="J881:J884" si="1065">I881/H881</f>
        <v>0</v>
      </c>
      <c r="K881" s="41"/>
      <c r="L881" s="44">
        <f t="shared" si="1063"/>
        <v>0</v>
      </c>
      <c r="M881" s="39" t="e">
        <f t="shared" si="1064"/>
        <v>#DIV/0!</v>
      </c>
      <c r="N881" s="81">
        <v>44341.63</v>
      </c>
      <c r="O881" s="81">
        <f t="shared" ref="O881:O884" si="1066">H881-N881</f>
        <v>130.16</v>
      </c>
      <c r="P881" s="84">
        <f t="shared" si="998"/>
        <v>1</v>
      </c>
      <c r="Q881" s="81"/>
      <c r="R881" s="81"/>
      <c r="S881" s="383"/>
    </row>
    <row r="882" spans="1:19" s="107" customFormat="1" ht="45.75" customHeight="1" x14ac:dyDescent="0.25">
      <c r="A882" s="266"/>
      <c r="B882" s="226" t="s">
        <v>19</v>
      </c>
      <c r="C882" s="75"/>
      <c r="D882" s="76"/>
      <c r="E882" s="76"/>
      <c r="F882" s="76"/>
      <c r="G882" s="197">
        <v>3358.46</v>
      </c>
      <c r="H882" s="197">
        <v>3358.46</v>
      </c>
      <c r="I882" s="271"/>
      <c r="J882" s="44">
        <f t="shared" si="1065"/>
        <v>0</v>
      </c>
      <c r="K882" s="41"/>
      <c r="L882" s="44">
        <f t="shared" si="1063"/>
        <v>0</v>
      </c>
      <c r="M882" s="39" t="e">
        <f t="shared" si="1064"/>
        <v>#DIV/0!</v>
      </c>
      <c r="N882" s="81">
        <v>3348.63</v>
      </c>
      <c r="O882" s="81">
        <f t="shared" si="1066"/>
        <v>9.83</v>
      </c>
      <c r="P882" s="84">
        <f t="shared" si="998"/>
        <v>1</v>
      </c>
      <c r="Q882" s="81"/>
      <c r="R882" s="81"/>
      <c r="S882" s="383"/>
    </row>
    <row r="883" spans="1:19" s="107" customFormat="1" ht="42" customHeight="1" x14ac:dyDescent="0.25">
      <c r="A883" s="266"/>
      <c r="B883" s="75" t="s">
        <v>22</v>
      </c>
      <c r="C883" s="75"/>
      <c r="D883" s="76"/>
      <c r="E883" s="76"/>
      <c r="F883" s="79"/>
      <c r="G883" s="81"/>
      <c r="H883" s="81"/>
      <c r="I883" s="81"/>
      <c r="J883" s="44" t="e">
        <f t="shared" si="1065"/>
        <v>#DIV/0!</v>
      </c>
      <c r="K883" s="41"/>
      <c r="L883" s="44" t="e">
        <f t="shared" si="1063"/>
        <v>#DIV/0!</v>
      </c>
      <c r="M883" s="39" t="e">
        <f t="shared" si="1064"/>
        <v>#DIV/0!</v>
      </c>
      <c r="N883" s="81">
        <f t="shared" ref="N883:N884" si="1067">H883</f>
        <v>0</v>
      </c>
      <c r="O883" s="81">
        <f t="shared" si="1066"/>
        <v>0</v>
      </c>
      <c r="P883" s="44" t="e">
        <f t="shared" si="998"/>
        <v>#DIV/0!</v>
      </c>
      <c r="Q883" s="81"/>
      <c r="R883" s="81"/>
      <c r="S883" s="383"/>
    </row>
    <row r="884" spans="1:19" s="107" customFormat="1" x14ac:dyDescent="0.25">
      <c r="A884" s="267"/>
      <c r="B884" s="226" t="s">
        <v>11</v>
      </c>
      <c r="C884" s="75"/>
      <c r="D884" s="76"/>
      <c r="E884" s="76"/>
      <c r="F884" s="79"/>
      <c r="G884" s="81"/>
      <c r="H884" s="81"/>
      <c r="I884" s="81"/>
      <c r="J884" s="44" t="e">
        <f t="shared" si="1065"/>
        <v>#DIV/0!</v>
      </c>
      <c r="K884" s="41"/>
      <c r="L884" s="44" t="e">
        <f t="shared" si="1063"/>
        <v>#DIV/0!</v>
      </c>
      <c r="M884" s="39" t="e">
        <f t="shared" si="1064"/>
        <v>#DIV/0!</v>
      </c>
      <c r="N884" s="81">
        <f t="shared" si="1067"/>
        <v>0</v>
      </c>
      <c r="O884" s="81">
        <f t="shared" si="1066"/>
        <v>0</v>
      </c>
      <c r="P884" s="44" t="e">
        <f t="shared" si="998"/>
        <v>#DIV/0!</v>
      </c>
      <c r="Q884" s="81"/>
      <c r="R884" s="81"/>
      <c r="S884" s="384"/>
    </row>
    <row r="885" spans="1:19" s="244" customFormat="1" ht="87" customHeight="1" x14ac:dyDescent="0.25">
      <c r="A885" s="269" t="s">
        <v>331</v>
      </c>
      <c r="B885" s="69" t="s">
        <v>342</v>
      </c>
      <c r="C885" s="196" t="s">
        <v>17</v>
      </c>
      <c r="D885" s="197">
        <f t="shared" ref="D885:I885" si="1068">SUM(D886:D890)</f>
        <v>0</v>
      </c>
      <c r="E885" s="197">
        <f t="shared" si="1068"/>
        <v>0</v>
      </c>
      <c r="F885" s="197">
        <f t="shared" si="1068"/>
        <v>0</v>
      </c>
      <c r="G885" s="197">
        <f t="shared" si="1068"/>
        <v>56448.19</v>
      </c>
      <c r="H885" s="197">
        <f t="shared" si="1068"/>
        <v>56448.19</v>
      </c>
      <c r="I885" s="76">
        <f t="shared" si="1068"/>
        <v>0</v>
      </c>
      <c r="J885" s="39">
        <f>I885/H885</f>
        <v>0</v>
      </c>
      <c r="K885" s="37">
        <f t="shared" ref="K885" si="1069">SUM(K886:K890)</f>
        <v>0</v>
      </c>
      <c r="L885" s="39">
        <f>K885/H885</f>
        <v>0</v>
      </c>
      <c r="M885" s="39" t="e">
        <f>K885/I885</f>
        <v>#DIV/0!</v>
      </c>
      <c r="N885" s="76">
        <f t="shared" ref="N885:O885" si="1070">SUM(N886:N890)</f>
        <v>56318.52</v>
      </c>
      <c r="O885" s="76">
        <f t="shared" si="1070"/>
        <v>129.66999999999999</v>
      </c>
      <c r="P885" s="78">
        <f t="shared" ref="P885:P894" si="1071">N885/H885</f>
        <v>1</v>
      </c>
      <c r="Q885" s="76"/>
      <c r="R885" s="76"/>
      <c r="S885" s="385" t="s">
        <v>442</v>
      </c>
    </row>
    <row r="886" spans="1:19" s="107" customFormat="1" x14ac:dyDescent="0.25">
      <c r="A886" s="266"/>
      <c r="B886" s="163" t="s">
        <v>10</v>
      </c>
      <c r="C886" s="311"/>
      <c r="D886" s="271"/>
      <c r="E886" s="271"/>
      <c r="F886" s="312"/>
      <c r="G886" s="271"/>
      <c r="H886" s="271"/>
      <c r="I886" s="81"/>
      <c r="J886" s="44" t="e">
        <f>I886/H886</f>
        <v>#DIV/0!</v>
      </c>
      <c r="K886" s="41"/>
      <c r="L886" s="44" t="e">
        <f t="shared" ref="L886:L890" si="1072">K886/H886</f>
        <v>#DIV/0!</v>
      </c>
      <c r="M886" s="39" t="e">
        <f t="shared" ref="M886:M890" si="1073">K886/I886</f>
        <v>#DIV/0!</v>
      </c>
      <c r="N886" s="81">
        <f>H886</f>
        <v>0</v>
      </c>
      <c r="O886" s="81">
        <f>H886-N886</f>
        <v>0</v>
      </c>
      <c r="P886" s="44" t="e">
        <f t="shared" si="1071"/>
        <v>#DIV/0!</v>
      </c>
      <c r="Q886" s="81"/>
      <c r="R886" s="81"/>
      <c r="S886" s="383"/>
    </row>
    <row r="887" spans="1:19" s="107" customFormat="1" x14ac:dyDescent="0.25">
      <c r="A887" s="266"/>
      <c r="B887" s="163" t="s">
        <v>8</v>
      </c>
      <c r="C887" s="311"/>
      <c r="D887" s="271"/>
      <c r="E887" s="271"/>
      <c r="F887" s="271"/>
      <c r="G887" s="197">
        <f>51336812/1000</f>
        <v>51336.81</v>
      </c>
      <c r="H887" s="197">
        <f>51336812/1000</f>
        <v>51336.81</v>
      </c>
      <c r="I887" s="81"/>
      <c r="J887" s="44">
        <f t="shared" ref="J887:J890" si="1074">I887/H887</f>
        <v>0</v>
      </c>
      <c r="K887" s="41"/>
      <c r="L887" s="44">
        <f t="shared" si="1072"/>
        <v>0</v>
      </c>
      <c r="M887" s="39" t="e">
        <f t="shared" si="1073"/>
        <v>#DIV/0!</v>
      </c>
      <c r="N887" s="81">
        <v>51218.879999999997</v>
      </c>
      <c r="O887" s="81">
        <f t="shared" ref="O887:O890" si="1075">H887-N887</f>
        <v>117.93</v>
      </c>
      <c r="P887" s="84">
        <f t="shared" si="1071"/>
        <v>1</v>
      </c>
      <c r="Q887" s="81"/>
      <c r="R887" s="81"/>
      <c r="S887" s="383"/>
    </row>
    <row r="888" spans="1:19" s="107" customFormat="1" x14ac:dyDescent="0.25">
      <c r="A888" s="266"/>
      <c r="B888" s="226" t="s">
        <v>19</v>
      </c>
      <c r="C888" s="196"/>
      <c r="D888" s="197"/>
      <c r="E888" s="197"/>
      <c r="F888" s="197"/>
      <c r="G888" s="197">
        <v>5111.38</v>
      </c>
      <c r="H888" s="197">
        <v>5111.38</v>
      </c>
      <c r="I888" s="81"/>
      <c r="J888" s="44">
        <f t="shared" si="1074"/>
        <v>0</v>
      </c>
      <c r="K888" s="41"/>
      <c r="L888" s="44">
        <f t="shared" si="1072"/>
        <v>0</v>
      </c>
      <c r="M888" s="39" t="e">
        <f t="shared" si="1073"/>
        <v>#DIV/0!</v>
      </c>
      <c r="N888" s="81">
        <v>5099.6400000000003</v>
      </c>
      <c r="O888" s="81">
        <f t="shared" si="1075"/>
        <v>11.74</v>
      </c>
      <c r="P888" s="84">
        <f t="shared" si="1071"/>
        <v>1</v>
      </c>
      <c r="Q888" s="81"/>
      <c r="R888" s="81"/>
      <c r="S888" s="383"/>
    </row>
    <row r="889" spans="1:19" s="107" customFormat="1" x14ac:dyDescent="0.25">
      <c r="A889" s="266"/>
      <c r="B889" s="75" t="s">
        <v>22</v>
      </c>
      <c r="C889" s="75"/>
      <c r="D889" s="76"/>
      <c r="E889" s="76"/>
      <c r="F889" s="79"/>
      <c r="G889" s="81"/>
      <c r="H889" s="81"/>
      <c r="I889" s="81"/>
      <c r="J889" s="44" t="e">
        <f t="shared" si="1074"/>
        <v>#DIV/0!</v>
      </c>
      <c r="K889" s="41"/>
      <c r="L889" s="44" t="e">
        <f t="shared" si="1072"/>
        <v>#DIV/0!</v>
      </c>
      <c r="M889" s="39" t="e">
        <f t="shared" si="1073"/>
        <v>#DIV/0!</v>
      </c>
      <c r="N889" s="81">
        <f t="shared" ref="N889:N890" si="1076">H889</f>
        <v>0</v>
      </c>
      <c r="O889" s="81">
        <f t="shared" si="1075"/>
        <v>0</v>
      </c>
      <c r="P889" s="44" t="e">
        <f t="shared" si="1071"/>
        <v>#DIV/0!</v>
      </c>
      <c r="Q889" s="81"/>
      <c r="R889" s="81"/>
      <c r="S889" s="383"/>
    </row>
    <row r="890" spans="1:19" s="107" customFormat="1" ht="61.5" customHeight="1" x14ac:dyDescent="0.25">
      <c r="A890" s="267"/>
      <c r="B890" s="226" t="s">
        <v>11</v>
      </c>
      <c r="C890" s="75"/>
      <c r="D890" s="76"/>
      <c r="E890" s="76"/>
      <c r="F890" s="79"/>
      <c r="G890" s="81"/>
      <c r="H890" s="81"/>
      <c r="I890" s="81"/>
      <c r="J890" s="44" t="e">
        <f t="shared" si="1074"/>
        <v>#DIV/0!</v>
      </c>
      <c r="K890" s="41"/>
      <c r="L890" s="44" t="e">
        <f t="shared" si="1072"/>
        <v>#DIV/0!</v>
      </c>
      <c r="M890" s="39" t="e">
        <f t="shared" si="1073"/>
        <v>#DIV/0!</v>
      </c>
      <c r="N890" s="81">
        <f t="shared" si="1076"/>
        <v>0</v>
      </c>
      <c r="O890" s="81">
        <f t="shared" si="1075"/>
        <v>0</v>
      </c>
      <c r="P890" s="44" t="e">
        <f t="shared" si="1071"/>
        <v>#DIV/0!</v>
      </c>
      <c r="Q890" s="81"/>
      <c r="R890" s="81"/>
      <c r="S890" s="384"/>
    </row>
    <row r="891" spans="1:19" s="244" customFormat="1" ht="58.5" customHeight="1" x14ac:dyDescent="0.25">
      <c r="A891" s="269" t="s">
        <v>331</v>
      </c>
      <c r="B891" s="69" t="s">
        <v>343</v>
      </c>
      <c r="C891" s="75" t="s">
        <v>17</v>
      </c>
      <c r="D891" s="76">
        <f t="shared" ref="D891:I891" si="1077">SUM(D892:D896)</f>
        <v>0</v>
      </c>
      <c r="E891" s="76">
        <f t="shared" si="1077"/>
        <v>0</v>
      </c>
      <c r="F891" s="76">
        <f t="shared" si="1077"/>
        <v>0</v>
      </c>
      <c r="G891" s="76">
        <f t="shared" si="1077"/>
        <v>11314.99</v>
      </c>
      <c r="H891" s="76">
        <f t="shared" si="1077"/>
        <v>11314.99</v>
      </c>
      <c r="I891" s="76">
        <f t="shared" si="1077"/>
        <v>0</v>
      </c>
      <c r="J891" s="39">
        <f>I891/H891</f>
        <v>0</v>
      </c>
      <c r="K891" s="37">
        <f t="shared" ref="K891" si="1078">SUM(K892:K896)</f>
        <v>0</v>
      </c>
      <c r="L891" s="39">
        <f>K891/H891</f>
        <v>0</v>
      </c>
      <c r="M891" s="39" t="e">
        <f>K891/I891</f>
        <v>#DIV/0!</v>
      </c>
      <c r="N891" s="76">
        <f t="shared" ref="N891:O891" si="1079">SUM(N892:N896)</f>
        <v>11295.75</v>
      </c>
      <c r="O891" s="76">
        <f t="shared" si="1079"/>
        <v>19.239999999999998</v>
      </c>
      <c r="P891" s="78">
        <f t="shared" si="1071"/>
        <v>1</v>
      </c>
      <c r="Q891" s="76"/>
      <c r="R891" s="76"/>
      <c r="S891" s="385" t="s">
        <v>443</v>
      </c>
    </row>
    <row r="892" spans="1:19" s="107" customFormat="1" x14ac:dyDescent="0.25">
      <c r="A892" s="266"/>
      <c r="B892" s="163" t="s">
        <v>10</v>
      </c>
      <c r="C892" s="80"/>
      <c r="D892" s="81"/>
      <c r="E892" s="81"/>
      <c r="F892" s="82"/>
      <c r="G892" s="81"/>
      <c r="H892" s="81"/>
      <c r="I892" s="81"/>
      <c r="J892" s="44" t="e">
        <f>I892/H892</f>
        <v>#DIV/0!</v>
      </c>
      <c r="K892" s="41"/>
      <c r="L892" s="44" t="e">
        <f t="shared" ref="L892:L896" si="1080">K892/H892</f>
        <v>#DIV/0!</v>
      </c>
      <c r="M892" s="39" t="e">
        <f t="shared" ref="M892:M896" si="1081">K892/I892</f>
        <v>#DIV/0!</v>
      </c>
      <c r="N892" s="81">
        <f>H892</f>
        <v>0</v>
      </c>
      <c r="O892" s="81">
        <f>H892-N892</f>
        <v>0</v>
      </c>
      <c r="P892" s="44" t="e">
        <f t="shared" si="1071"/>
        <v>#DIV/0!</v>
      </c>
      <c r="Q892" s="81"/>
      <c r="R892" s="81"/>
      <c r="S892" s="383"/>
    </row>
    <row r="893" spans="1:19" s="107" customFormat="1" ht="49.5" customHeight="1" x14ac:dyDescent="0.25">
      <c r="A893" s="266"/>
      <c r="B893" s="163" t="s">
        <v>8</v>
      </c>
      <c r="C893" s="80"/>
      <c r="D893" s="81"/>
      <c r="E893" s="81"/>
      <c r="F893" s="81"/>
      <c r="G893" s="197">
        <f>10749244/1000</f>
        <v>10749.24</v>
      </c>
      <c r="H893" s="197">
        <f>10749244/1000</f>
        <v>10749.24</v>
      </c>
      <c r="I893" s="81"/>
      <c r="J893" s="44">
        <f t="shared" ref="J893:J896" si="1082">I893/H893</f>
        <v>0</v>
      </c>
      <c r="K893" s="41"/>
      <c r="L893" s="44">
        <f t="shared" si="1080"/>
        <v>0</v>
      </c>
      <c r="M893" s="39" t="e">
        <f t="shared" si="1081"/>
        <v>#DIV/0!</v>
      </c>
      <c r="N893" s="81">
        <v>10730.96</v>
      </c>
      <c r="O893" s="81">
        <f t="shared" ref="O893:O896" si="1083">H893-N893</f>
        <v>18.28</v>
      </c>
      <c r="P893" s="84">
        <f t="shared" si="1071"/>
        <v>1</v>
      </c>
      <c r="Q893" s="81"/>
      <c r="R893" s="81"/>
      <c r="S893" s="383"/>
    </row>
    <row r="894" spans="1:19" s="107" customFormat="1" ht="36.75" customHeight="1" x14ac:dyDescent="0.25">
      <c r="A894" s="266"/>
      <c r="B894" s="226" t="s">
        <v>19</v>
      </c>
      <c r="C894" s="75"/>
      <c r="D894" s="76"/>
      <c r="E894" s="76"/>
      <c r="F894" s="76"/>
      <c r="G894" s="197">
        <f>565750/1000</f>
        <v>565.75</v>
      </c>
      <c r="H894" s="197">
        <f>565750/1000</f>
        <v>565.75</v>
      </c>
      <c r="I894" s="81"/>
      <c r="J894" s="44">
        <f t="shared" si="1082"/>
        <v>0</v>
      </c>
      <c r="K894" s="41"/>
      <c r="L894" s="44">
        <f t="shared" si="1080"/>
        <v>0</v>
      </c>
      <c r="M894" s="39" t="e">
        <f t="shared" si="1081"/>
        <v>#DIV/0!</v>
      </c>
      <c r="N894" s="81">
        <v>564.79</v>
      </c>
      <c r="O894" s="81">
        <f t="shared" si="1083"/>
        <v>0.96</v>
      </c>
      <c r="P894" s="84">
        <f t="shared" si="1071"/>
        <v>1</v>
      </c>
      <c r="Q894" s="81"/>
      <c r="R894" s="81"/>
      <c r="S894" s="383"/>
    </row>
    <row r="895" spans="1:19" s="107" customFormat="1" x14ac:dyDescent="0.25">
      <c r="A895" s="266"/>
      <c r="B895" s="75" t="s">
        <v>22</v>
      </c>
      <c r="C895" s="75"/>
      <c r="D895" s="76"/>
      <c r="E895" s="76"/>
      <c r="F895" s="79"/>
      <c r="G895" s="271"/>
      <c r="H895" s="271"/>
      <c r="I895" s="81"/>
      <c r="J895" s="44" t="e">
        <f t="shared" si="1082"/>
        <v>#DIV/0!</v>
      </c>
      <c r="K895" s="41"/>
      <c r="L895" s="44" t="e">
        <f t="shared" si="1080"/>
        <v>#DIV/0!</v>
      </c>
      <c r="M895" s="39" t="e">
        <f t="shared" si="1081"/>
        <v>#DIV/0!</v>
      </c>
      <c r="N895" s="81">
        <f t="shared" ref="N895:N896" si="1084">H895</f>
        <v>0</v>
      </c>
      <c r="O895" s="81">
        <f t="shared" si="1083"/>
        <v>0</v>
      </c>
      <c r="P895" s="84"/>
      <c r="Q895" s="81"/>
      <c r="R895" s="81"/>
      <c r="S895" s="383"/>
    </row>
    <row r="896" spans="1:19" s="107" customFormat="1" ht="83.25" customHeight="1" x14ac:dyDescent="0.25">
      <c r="A896" s="267"/>
      <c r="B896" s="226" t="s">
        <v>11</v>
      </c>
      <c r="C896" s="75"/>
      <c r="D896" s="76"/>
      <c r="E896" s="76"/>
      <c r="F896" s="79"/>
      <c r="G896" s="81"/>
      <c r="H896" s="81"/>
      <c r="I896" s="81"/>
      <c r="J896" s="44" t="e">
        <f t="shared" si="1082"/>
        <v>#DIV/0!</v>
      </c>
      <c r="K896" s="41"/>
      <c r="L896" s="44" t="e">
        <f t="shared" si="1080"/>
        <v>#DIV/0!</v>
      </c>
      <c r="M896" s="39" t="e">
        <f t="shared" si="1081"/>
        <v>#DIV/0!</v>
      </c>
      <c r="N896" s="81">
        <f t="shared" si="1084"/>
        <v>0</v>
      </c>
      <c r="O896" s="81">
        <f t="shared" si="1083"/>
        <v>0</v>
      </c>
      <c r="P896" s="84"/>
      <c r="Q896" s="81"/>
      <c r="R896" s="81"/>
      <c r="S896" s="384"/>
    </row>
    <row r="897" spans="1:19" s="244" customFormat="1" ht="81" customHeight="1" x14ac:dyDescent="0.25">
      <c r="A897" s="269" t="s">
        <v>331</v>
      </c>
      <c r="B897" s="69" t="s">
        <v>344</v>
      </c>
      <c r="C897" s="75" t="s">
        <v>17</v>
      </c>
      <c r="D897" s="76">
        <f t="shared" ref="D897:I897" si="1085">SUM(D898:D902)</f>
        <v>0</v>
      </c>
      <c r="E897" s="76">
        <f t="shared" si="1085"/>
        <v>0</v>
      </c>
      <c r="F897" s="76">
        <f t="shared" si="1085"/>
        <v>0</v>
      </c>
      <c r="G897" s="197">
        <f t="shared" si="1085"/>
        <v>7881.09</v>
      </c>
      <c r="H897" s="197">
        <f t="shared" si="1085"/>
        <v>5365.89</v>
      </c>
      <c r="I897" s="76">
        <f t="shared" si="1085"/>
        <v>0</v>
      </c>
      <c r="J897" s="39">
        <f>I897/H897</f>
        <v>0</v>
      </c>
      <c r="K897" s="37">
        <f t="shared" ref="K897" si="1086">SUM(K898:K902)</f>
        <v>0</v>
      </c>
      <c r="L897" s="39">
        <f>K897/H897</f>
        <v>0</v>
      </c>
      <c r="M897" s="39" t="e">
        <f>K897/I897</f>
        <v>#DIV/0!</v>
      </c>
      <c r="N897" s="76">
        <f t="shared" ref="N897:O897" si="1087">SUM(N898:N902)</f>
        <v>5365.89</v>
      </c>
      <c r="O897" s="76">
        <f t="shared" si="1087"/>
        <v>0</v>
      </c>
      <c r="P897" s="84">
        <f>N897/H897</f>
        <v>1</v>
      </c>
      <c r="Q897" s="76"/>
      <c r="R897" s="76"/>
      <c r="S897" s="385" t="s">
        <v>444</v>
      </c>
    </row>
    <row r="898" spans="1:19" s="107" customFormat="1" ht="45.75" customHeight="1" x14ac:dyDescent="0.25">
      <c r="A898" s="266"/>
      <c r="B898" s="163" t="s">
        <v>10</v>
      </c>
      <c r="C898" s="80"/>
      <c r="D898" s="81"/>
      <c r="E898" s="81"/>
      <c r="F898" s="82"/>
      <c r="G898" s="271"/>
      <c r="H898" s="271"/>
      <c r="I898" s="81"/>
      <c r="J898" s="44" t="e">
        <f>I898/H898</f>
        <v>#DIV/0!</v>
      </c>
      <c r="K898" s="41"/>
      <c r="L898" s="44" t="e">
        <f t="shared" ref="L898:L902" si="1088">K898/H898</f>
        <v>#DIV/0!</v>
      </c>
      <c r="M898" s="39" t="e">
        <f t="shared" ref="M898:M902" si="1089">K898/I898</f>
        <v>#DIV/0!</v>
      </c>
      <c r="N898" s="81">
        <f>H898</f>
        <v>0</v>
      </c>
      <c r="O898" s="81">
        <f>H898-N898</f>
        <v>0</v>
      </c>
      <c r="P898" s="84"/>
      <c r="Q898" s="81"/>
      <c r="R898" s="81"/>
      <c r="S898" s="383"/>
    </row>
    <row r="899" spans="1:19" s="107" customFormat="1" ht="40.5" customHeight="1" x14ac:dyDescent="0.25">
      <c r="A899" s="266"/>
      <c r="B899" s="163" t="s">
        <v>8</v>
      </c>
      <c r="C899" s="80"/>
      <c r="D899" s="81"/>
      <c r="E899" s="81"/>
      <c r="F899" s="81"/>
      <c r="G899" s="197">
        <f>7487036/1000</f>
        <v>7487.04</v>
      </c>
      <c r="H899" s="197">
        <v>5097.6000000000004</v>
      </c>
      <c r="I899" s="81"/>
      <c r="J899" s="44">
        <f t="shared" ref="J899:J902" si="1090">I899/H899</f>
        <v>0</v>
      </c>
      <c r="K899" s="41"/>
      <c r="L899" s="44">
        <f t="shared" si="1088"/>
        <v>0</v>
      </c>
      <c r="M899" s="39" t="e">
        <f t="shared" si="1089"/>
        <v>#DIV/0!</v>
      </c>
      <c r="N899" s="81">
        <f t="shared" ref="N899:N902" si="1091">H899</f>
        <v>5097.6000000000004</v>
      </c>
      <c r="O899" s="81">
        <f t="shared" ref="O899:O902" si="1092">H899-N899</f>
        <v>0</v>
      </c>
      <c r="P899" s="84">
        <f>N899/H899</f>
        <v>1</v>
      </c>
      <c r="Q899" s="81"/>
      <c r="R899" s="81"/>
      <c r="S899" s="383"/>
    </row>
    <row r="900" spans="1:19" s="107" customFormat="1" ht="34.5" customHeight="1" x14ac:dyDescent="0.25">
      <c r="A900" s="266"/>
      <c r="B900" s="226" t="s">
        <v>19</v>
      </c>
      <c r="C900" s="75"/>
      <c r="D900" s="76"/>
      <c r="E900" s="76"/>
      <c r="F900" s="76"/>
      <c r="G900" s="197">
        <f>394054/1000</f>
        <v>394.05</v>
      </c>
      <c r="H900" s="197">
        <v>268.29000000000002</v>
      </c>
      <c r="I900" s="81"/>
      <c r="J900" s="44">
        <f t="shared" si="1090"/>
        <v>0</v>
      </c>
      <c r="K900" s="41"/>
      <c r="L900" s="44">
        <f t="shared" si="1088"/>
        <v>0</v>
      </c>
      <c r="M900" s="39" t="e">
        <f t="shared" si="1089"/>
        <v>#DIV/0!</v>
      </c>
      <c r="N900" s="81">
        <f t="shared" si="1091"/>
        <v>268.29000000000002</v>
      </c>
      <c r="O900" s="81">
        <f t="shared" si="1092"/>
        <v>0</v>
      </c>
      <c r="P900" s="84">
        <f>N900/H900</f>
        <v>1</v>
      </c>
      <c r="Q900" s="81"/>
      <c r="R900" s="81"/>
      <c r="S900" s="383"/>
    </row>
    <row r="901" spans="1:19" s="107" customFormat="1" ht="34.5" customHeight="1" x14ac:dyDescent="0.25">
      <c r="A901" s="266"/>
      <c r="B901" s="75" t="s">
        <v>22</v>
      </c>
      <c r="C901" s="75"/>
      <c r="D901" s="76"/>
      <c r="E901" s="76"/>
      <c r="F901" s="79"/>
      <c r="G901" s="81"/>
      <c r="H901" s="81"/>
      <c r="I901" s="81"/>
      <c r="J901" s="44" t="e">
        <f t="shared" si="1090"/>
        <v>#DIV/0!</v>
      </c>
      <c r="K901" s="41"/>
      <c r="L901" s="44" t="e">
        <f t="shared" si="1088"/>
        <v>#DIV/0!</v>
      </c>
      <c r="M901" s="39" t="e">
        <f t="shared" si="1089"/>
        <v>#DIV/0!</v>
      </c>
      <c r="N901" s="81">
        <f t="shared" si="1091"/>
        <v>0</v>
      </c>
      <c r="O901" s="81">
        <f t="shared" si="1092"/>
        <v>0</v>
      </c>
      <c r="P901" s="84"/>
      <c r="Q901" s="81"/>
      <c r="R901" s="81"/>
      <c r="S901" s="383"/>
    </row>
    <row r="902" spans="1:19" s="107" customFormat="1" ht="45.75" customHeight="1" x14ac:dyDescent="0.25">
      <c r="A902" s="267"/>
      <c r="B902" s="226" t="s">
        <v>11</v>
      </c>
      <c r="C902" s="75"/>
      <c r="D902" s="76"/>
      <c r="E902" s="76"/>
      <c r="F902" s="79"/>
      <c r="G902" s="81"/>
      <c r="H902" s="81"/>
      <c r="I902" s="81"/>
      <c r="J902" s="44" t="e">
        <f t="shared" si="1090"/>
        <v>#DIV/0!</v>
      </c>
      <c r="K902" s="41"/>
      <c r="L902" s="44" t="e">
        <f t="shared" si="1088"/>
        <v>#DIV/0!</v>
      </c>
      <c r="M902" s="39" t="e">
        <f t="shared" si="1089"/>
        <v>#DIV/0!</v>
      </c>
      <c r="N902" s="81">
        <f t="shared" si="1091"/>
        <v>0</v>
      </c>
      <c r="O902" s="81">
        <f t="shared" si="1092"/>
        <v>0</v>
      </c>
      <c r="P902" s="84"/>
      <c r="Q902" s="81"/>
      <c r="R902" s="81"/>
      <c r="S902" s="384"/>
    </row>
    <row r="903" spans="1:19" s="244" customFormat="1" ht="76.5" customHeight="1" x14ac:dyDescent="0.25">
      <c r="A903" s="269" t="s">
        <v>331</v>
      </c>
      <c r="B903" s="69" t="s">
        <v>345</v>
      </c>
      <c r="C903" s="75" t="s">
        <v>17</v>
      </c>
      <c r="D903" s="76">
        <f t="shared" ref="D903:I903" si="1093">SUM(D904:D908)</f>
        <v>0</v>
      </c>
      <c r="E903" s="76">
        <f t="shared" si="1093"/>
        <v>0</v>
      </c>
      <c r="F903" s="76">
        <f t="shared" si="1093"/>
        <v>0</v>
      </c>
      <c r="G903" s="197">
        <f t="shared" si="1093"/>
        <v>1936.49</v>
      </c>
      <c r="H903" s="197">
        <f t="shared" si="1093"/>
        <v>2747.13</v>
      </c>
      <c r="I903" s="76">
        <f t="shared" si="1093"/>
        <v>0</v>
      </c>
      <c r="J903" s="39">
        <f>I903/H903</f>
        <v>0</v>
      </c>
      <c r="K903" s="37">
        <f t="shared" ref="K903" si="1094">SUM(K904:K908)</f>
        <v>0</v>
      </c>
      <c r="L903" s="39">
        <f>K903/H903</f>
        <v>0</v>
      </c>
      <c r="M903" s="39" t="e">
        <f>K903/I903</f>
        <v>#DIV/0!</v>
      </c>
      <c r="N903" s="76">
        <f t="shared" ref="N903:O903" si="1095">SUM(N904:N908)</f>
        <v>2747.13</v>
      </c>
      <c r="O903" s="76">
        <f t="shared" si="1095"/>
        <v>0</v>
      </c>
      <c r="P903" s="84">
        <f>N903/H903</f>
        <v>1</v>
      </c>
      <c r="Q903" s="76"/>
      <c r="R903" s="76"/>
      <c r="S903" s="385" t="s">
        <v>445</v>
      </c>
    </row>
    <row r="904" spans="1:19" s="107" customFormat="1" ht="33" customHeight="1" x14ac:dyDescent="0.25">
      <c r="A904" s="266"/>
      <c r="B904" s="163" t="s">
        <v>10</v>
      </c>
      <c r="C904" s="80"/>
      <c r="D904" s="81"/>
      <c r="E904" s="81"/>
      <c r="F904" s="82"/>
      <c r="G904" s="271"/>
      <c r="H904" s="271"/>
      <c r="I904" s="81"/>
      <c r="J904" s="44" t="e">
        <f>I904/H904</f>
        <v>#DIV/0!</v>
      </c>
      <c r="K904" s="41"/>
      <c r="L904" s="44" t="e">
        <f t="shared" ref="L904:L908" si="1096">K904/H904</f>
        <v>#DIV/0!</v>
      </c>
      <c r="M904" s="39" t="e">
        <f t="shared" ref="M904:M908" si="1097">K904/I904</f>
        <v>#DIV/0!</v>
      </c>
      <c r="N904" s="81">
        <f>H904</f>
        <v>0</v>
      </c>
      <c r="O904" s="81">
        <f>H904-N904</f>
        <v>0</v>
      </c>
      <c r="P904" s="84"/>
      <c r="Q904" s="81"/>
      <c r="R904" s="81"/>
      <c r="S904" s="383"/>
    </row>
    <row r="905" spans="1:19" s="107" customFormat="1" ht="33" customHeight="1" x14ac:dyDescent="0.25">
      <c r="A905" s="266"/>
      <c r="B905" s="163" t="s">
        <v>8</v>
      </c>
      <c r="C905" s="80"/>
      <c r="D905" s="81"/>
      <c r="E905" s="81"/>
      <c r="F905" s="81"/>
      <c r="G905" s="197">
        <f>1839672/1000</f>
        <v>1839.67</v>
      </c>
      <c r="H905" s="197">
        <v>2609.77</v>
      </c>
      <c r="I905" s="81"/>
      <c r="J905" s="44">
        <f t="shared" ref="J905:J908" si="1098">I905/H905</f>
        <v>0</v>
      </c>
      <c r="K905" s="41"/>
      <c r="L905" s="44">
        <f t="shared" si="1096"/>
        <v>0</v>
      </c>
      <c r="M905" s="39" t="e">
        <f t="shared" si="1097"/>
        <v>#DIV/0!</v>
      </c>
      <c r="N905" s="81">
        <f t="shared" ref="N905:N908" si="1099">H905</f>
        <v>2609.77</v>
      </c>
      <c r="O905" s="81">
        <f t="shared" ref="O905:O908" si="1100">H905-N905</f>
        <v>0</v>
      </c>
      <c r="P905" s="84">
        <f>N905/H905</f>
        <v>1</v>
      </c>
      <c r="Q905" s="81"/>
      <c r="R905" s="81"/>
      <c r="S905" s="383"/>
    </row>
    <row r="906" spans="1:19" s="107" customFormat="1" ht="33" customHeight="1" x14ac:dyDescent="0.25">
      <c r="A906" s="266"/>
      <c r="B906" s="226" t="s">
        <v>19</v>
      </c>
      <c r="C906" s="75"/>
      <c r="D906" s="76"/>
      <c r="E906" s="76"/>
      <c r="F906" s="76"/>
      <c r="G906" s="197">
        <f>96824/1000</f>
        <v>96.82</v>
      </c>
      <c r="H906" s="197">
        <v>137.36000000000001</v>
      </c>
      <c r="I906" s="81"/>
      <c r="J906" s="44">
        <f t="shared" si="1098"/>
        <v>0</v>
      </c>
      <c r="K906" s="41"/>
      <c r="L906" s="44">
        <f t="shared" si="1096"/>
        <v>0</v>
      </c>
      <c r="M906" s="39" t="e">
        <f t="shared" si="1097"/>
        <v>#DIV/0!</v>
      </c>
      <c r="N906" s="81">
        <f t="shared" si="1099"/>
        <v>137.36000000000001</v>
      </c>
      <c r="O906" s="81">
        <f t="shared" si="1100"/>
        <v>0</v>
      </c>
      <c r="P906" s="84">
        <f>N906/H906</f>
        <v>1</v>
      </c>
      <c r="Q906" s="81"/>
      <c r="R906" s="81"/>
      <c r="S906" s="383"/>
    </row>
    <row r="907" spans="1:19" s="107" customFormat="1" ht="33" customHeight="1" x14ac:dyDescent="0.25">
      <c r="A907" s="266"/>
      <c r="B907" s="75" t="s">
        <v>22</v>
      </c>
      <c r="C907" s="75"/>
      <c r="D907" s="76"/>
      <c r="E907" s="76"/>
      <c r="F907" s="79"/>
      <c r="G907" s="81"/>
      <c r="H907" s="81"/>
      <c r="I907" s="81"/>
      <c r="J907" s="44" t="e">
        <f t="shared" si="1098"/>
        <v>#DIV/0!</v>
      </c>
      <c r="K907" s="41"/>
      <c r="L907" s="44" t="e">
        <f t="shared" si="1096"/>
        <v>#DIV/0!</v>
      </c>
      <c r="M907" s="39" t="e">
        <f t="shared" si="1097"/>
        <v>#DIV/0!</v>
      </c>
      <c r="N907" s="81">
        <f t="shared" si="1099"/>
        <v>0</v>
      </c>
      <c r="O907" s="81">
        <f t="shared" si="1100"/>
        <v>0</v>
      </c>
      <c r="P907" s="84"/>
      <c r="Q907" s="81"/>
      <c r="R907" s="81"/>
      <c r="S907" s="383"/>
    </row>
    <row r="908" spans="1:19" s="107" customFormat="1" ht="54" customHeight="1" x14ac:dyDescent="0.25">
      <c r="A908" s="267"/>
      <c r="B908" s="226" t="s">
        <v>11</v>
      </c>
      <c r="C908" s="75"/>
      <c r="D908" s="76"/>
      <c r="E908" s="76"/>
      <c r="F908" s="79"/>
      <c r="G908" s="81"/>
      <c r="H908" s="81"/>
      <c r="I908" s="81"/>
      <c r="J908" s="44" t="e">
        <f t="shared" si="1098"/>
        <v>#DIV/0!</v>
      </c>
      <c r="K908" s="41"/>
      <c r="L908" s="44" t="e">
        <f t="shared" si="1096"/>
        <v>#DIV/0!</v>
      </c>
      <c r="M908" s="39" t="e">
        <f t="shared" si="1097"/>
        <v>#DIV/0!</v>
      </c>
      <c r="N908" s="81">
        <f t="shared" si="1099"/>
        <v>0</v>
      </c>
      <c r="O908" s="81">
        <f t="shared" si="1100"/>
        <v>0</v>
      </c>
      <c r="P908" s="84"/>
      <c r="Q908" s="81"/>
      <c r="R908" s="81"/>
      <c r="S908" s="384"/>
    </row>
    <row r="909" spans="1:19" s="244" customFormat="1" ht="79.5" customHeight="1" x14ac:dyDescent="0.25">
      <c r="A909" s="269" t="s">
        <v>331</v>
      </c>
      <c r="B909" s="69" t="s">
        <v>361</v>
      </c>
      <c r="C909" s="75" t="s">
        <v>17</v>
      </c>
      <c r="D909" s="76">
        <f t="shared" ref="D909:I909" si="1101">SUM(D910:D914)</f>
        <v>0</v>
      </c>
      <c r="E909" s="76">
        <f t="shared" si="1101"/>
        <v>0</v>
      </c>
      <c r="F909" s="76">
        <f t="shared" si="1101"/>
        <v>0</v>
      </c>
      <c r="G909" s="76">
        <f t="shared" si="1101"/>
        <v>2747.13</v>
      </c>
      <c r="H909" s="76">
        <f t="shared" si="1101"/>
        <v>3589.27</v>
      </c>
      <c r="I909" s="76">
        <f t="shared" si="1101"/>
        <v>0</v>
      </c>
      <c r="J909" s="39">
        <f>I909/H909</f>
        <v>0</v>
      </c>
      <c r="K909" s="37">
        <f t="shared" ref="K909" si="1102">SUM(K910:K914)</f>
        <v>0</v>
      </c>
      <c r="L909" s="39">
        <f>K909/H909</f>
        <v>0</v>
      </c>
      <c r="M909" s="39" t="e">
        <f>K909/I909</f>
        <v>#DIV/0!</v>
      </c>
      <c r="N909" s="76">
        <f t="shared" ref="N909:O909" si="1103">SUM(N910:N914)</f>
        <v>3589.27</v>
      </c>
      <c r="O909" s="76">
        <f t="shared" si="1103"/>
        <v>0</v>
      </c>
      <c r="P909" s="84">
        <f>N909/H909</f>
        <v>1</v>
      </c>
      <c r="Q909" s="76"/>
      <c r="R909" s="76"/>
      <c r="S909" s="385" t="s">
        <v>446</v>
      </c>
    </row>
    <row r="910" spans="1:19" s="107" customFormat="1" ht="33" customHeight="1" x14ac:dyDescent="0.25">
      <c r="A910" s="266"/>
      <c r="B910" s="163" t="s">
        <v>10</v>
      </c>
      <c r="C910" s="80"/>
      <c r="D910" s="81"/>
      <c r="E910" s="81"/>
      <c r="F910" s="82"/>
      <c r="G910" s="271"/>
      <c r="H910" s="271"/>
      <c r="I910" s="81"/>
      <c r="J910" s="44" t="e">
        <f>I910/H910</f>
        <v>#DIV/0!</v>
      </c>
      <c r="K910" s="41"/>
      <c r="L910" s="44" t="e">
        <f t="shared" ref="L910:L914" si="1104">K910/H910</f>
        <v>#DIV/0!</v>
      </c>
      <c r="M910" s="39" t="e">
        <f t="shared" ref="M910:M914" si="1105">K910/I910</f>
        <v>#DIV/0!</v>
      </c>
      <c r="N910" s="81">
        <f>H910</f>
        <v>0</v>
      </c>
      <c r="O910" s="81">
        <f>H910-N910</f>
        <v>0</v>
      </c>
      <c r="P910" s="84"/>
      <c r="Q910" s="81"/>
      <c r="R910" s="81"/>
      <c r="S910" s="383"/>
    </row>
    <row r="911" spans="1:19" s="107" customFormat="1" ht="36.75" customHeight="1" x14ac:dyDescent="0.25">
      <c r="A911" s="266"/>
      <c r="B911" s="163" t="s">
        <v>8</v>
      </c>
      <c r="C911" s="80"/>
      <c r="D911" s="81"/>
      <c r="E911" s="81"/>
      <c r="F911" s="81"/>
      <c r="G911" s="197">
        <f>2609767/1000</f>
        <v>2609.77</v>
      </c>
      <c r="H911" s="197">
        <v>3409.81</v>
      </c>
      <c r="I911" s="81"/>
      <c r="J911" s="44">
        <f t="shared" ref="J911:J914" si="1106">I911/H911</f>
        <v>0</v>
      </c>
      <c r="K911" s="41"/>
      <c r="L911" s="44">
        <f t="shared" si="1104"/>
        <v>0</v>
      </c>
      <c r="M911" s="39" t="e">
        <f t="shared" si="1105"/>
        <v>#DIV/0!</v>
      </c>
      <c r="N911" s="81">
        <f t="shared" ref="N911:N914" si="1107">H911</f>
        <v>3409.81</v>
      </c>
      <c r="O911" s="81">
        <f t="shared" ref="O911:O914" si="1108">H911-N911</f>
        <v>0</v>
      </c>
      <c r="P911" s="84">
        <f>N911/H911</f>
        <v>1</v>
      </c>
      <c r="Q911" s="81"/>
      <c r="R911" s="81"/>
      <c r="S911" s="383"/>
    </row>
    <row r="912" spans="1:19" s="107" customFormat="1" ht="33" customHeight="1" x14ac:dyDescent="0.25">
      <c r="A912" s="266"/>
      <c r="B912" s="226" t="s">
        <v>19</v>
      </c>
      <c r="C912" s="75"/>
      <c r="D912" s="76"/>
      <c r="E912" s="76"/>
      <c r="F912" s="76"/>
      <c r="G912" s="197">
        <f>137356/1000</f>
        <v>137.36000000000001</v>
      </c>
      <c r="H912" s="197">
        <v>179.46</v>
      </c>
      <c r="I912" s="81"/>
      <c r="J912" s="44">
        <f t="shared" si="1106"/>
        <v>0</v>
      </c>
      <c r="K912" s="41"/>
      <c r="L912" s="44">
        <f t="shared" si="1104"/>
        <v>0</v>
      </c>
      <c r="M912" s="39" t="e">
        <f t="shared" si="1105"/>
        <v>#DIV/0!</v>
      </c>
      <c r="N912" s="81">
        <f t="shared" si="1107"/>
        <v>179.46</v>
      </c>
      <c r="O912" s="81">
        <f t="shared" si="1108"/>
        <v>0</v>
      </c>
      <c r="P912" s="84">
        <f>N912/H912</f>
        <v>1</v>
      </c>
      <c r="Q912" s="81"/>
      <c r="R912" s="81"/>
      <c r="S912" s="383"/>
    </row>
    <row r="913" spans="1:19" s="107" customFormat="1" ht="34.5" customHeight="1" x14ac:dyDescent="0.25">
      <c r="A913" s="266"/>
      <c r="B913" s="75" t="s">
        <v>22</v>
      </c>
      <c r="C913" s="75"/>
      <c r="D913" s="76"/>
      <c r="E913" s="76"/>
      <c r="F913" s="79"/>
      <c r="G913" s="81"/>
      <c r="H913" s="81"/>
      <c r="I913" s="81"/>
      <c r="J913" s="44" t="e">
        <f t="shared" si="1106"/>
        <v>#DIV/0!</v>
      </c>
      <c r="K913" s="41"/>
      <c r="L913" s="44" t="e">
        <f t="shared" si="1104"/>
        <v>#DIV/0!</v>
      </c>
      <c r="M913" s="39" t="e">
        <f t="shared" si="1105"/>
        <v>#DIV/0!</v>
      </c>
      <c r="N913" s="81">
        <f t="shared" si="1107"/>
        <v>0</v>
      </c>
      <c r="O913" s="81">
        <f t="shared" si="1108"/>
        <v>0</v>
      </c>
      <c r="P913" s="84"/>
      <c r="Q913" s="81"/>
      <c r="R913" s="81"/>
      <c r="S913" s="383"/>
    </row>
    <row r="914" spans="1:19" s="107" customFormat="1" ht="42" customHeight="1" x14ac:dyDescent="0.25">
      <c r="A914" s="267"/>
      <c r="B914" s="226" t="s">
        <v>11</v>
      </c>
      <c r="C914" s="75"/>
      <c r="D914" s="76"/>
      <c r="E914" s="76"/>
      <c r="F914" s="79"/>
      <c r="G914" s="81"/>
      <c r="H914" s="81"/>
      <c r="I914" s="81"/>
      <c r="J914" s="44" t="e">
        <f t="shared" si="1106"/>
        <v>#DIV/0!</v>
      </c>
      <c r="K914" s="41"/>
      <c r="L914" s="44" t="e">
        <f t="shared" si="1104"/>
        <v>#DIV/0!</v>
      </c>
      <c r="M914" s="39" t="e">
        <f t="shared" si="1105"/>
        <v>#DIV/0!</v>
      </c>
      <c r="N914" s="81">
        <f t="shared" si="1107"/>
        <v>0</v>
      </c>
      <c r="O914" s="81">
        <f t="shared" si="1108"/>
        <v>0</v>
      </c>
      <c r="P914" s="84"/>
      <c r="Q914" s="81"/>
      <c r="R914" s="81"/>
      <c r="S914" s="384"/>
    </row>
    <row r="915" spans="1:19" s="244" customFormat="1" ht="79.5" customHeight="1" x14ac:dyDescent="0.25">
      <c r="A915" s="269" t="s">
        <v>331</v>
      </c>
      <c r="B915" s="69" t="s">
        <v>362</v>
      </c>
      <c r="C915" s="75" t="s">
        <v>17</v>
      </c>
      <c r="D915" s="76">
        <f t="shared" ref="D915:I915" si="1109">SUM(D916:D920)</f>
        <v>0</v>
      </c>
      <c r="E915" s="76">
        <f t="shared" si="1109"/>
        <v>0</v>
      </c>
      <c r="F915" s="76">
        <f t="shared" si="1109"/>
        <v>0</v>
      </c>
      <c r="G915" s="197">
        <f t="shared" si="1109"/>
        <v>2260.75</v>
      </c>
      <c r="H915" s="197">
        <f t="shared" si="1109"/>
        <v>3557.75</v>
      </c>
      <c r="I915" s="76">
        <f t="shared" si="1109"/>
        <v>0</v>
      </c>
      <c r="J915" s="39">
        <f>I915/H915</f>
        <v>0</v>
      </c>
      <c r="K915" s="37">
        <f t="shared" ref="K915" si="1110">SUM(K916:K920)</f>
        <v>0</v>
      </c>
      <c r="L915" s="39">
        <f>K915/H915</f>
        <v>0</v>
      </c>
      <c r="M915" s="39" t="e">
        <f>K915/I915</f>
        <v>#DIV/0!</v>
      </c>
      <c r="N915" s="76">
        <f t="shared" ref="N915:O915" si="1111">SUM(N916:N920)</f>
        <v>3557.75</v>
      </c>
      <c r="O915" s="76">
        <f t="shared" si="1111"/>
        <v>0</v>
      </c>
      <c r="P915" s="84">
        <f>N915/H915</f>
        <v>1</v>
      </c>
      <c r="Q915" s="76"/>
      <c r="R915" s="76"/>
      <c r="S915" s="385" t="s">
        <v>447</v>
      </c>
    </row>
    <row r="916" spans="1:19" s="107" customFormat="1" x14ac:dyDescent="0.25">
      <c r="A916" s="266"/>
      <c r="B916" s="163" t="s">
        <v>10</v>
      </c>
      <c r="C916" s="80"/>
      <c r="D916" s="81"/>
      <c r="E916" s="81"/>
      <c r="F916" s="82"/>
      <c r="G916" s="271"/>
      <c r="H916" s="271"/>
      <c r="I916" s="81"/>
      <c r="J916" s="44" t="e">
        <f>I916/H916</f>
        <v>#DIV/0!</v>
      </c>
      <c r="K916" s="41"/>
      <c r="L916" s="44" t="e">
        <f t="shared" ref="L916:L920" si="1112">K916/H916</f>
        <v>#DIV/0!</v>
      </c>
      <c r="M916" s="39" t="e">
        <f t="shared" ref="M916:M920" si="1113">K916/I916</f>
        <v>#DIV/0!</v>
      </c>
      <c r="N916" s="81">
        <f>H916</f>
        <v>0</v>
      </c>
      <c r="O916" s="81">
        <f>H916-N916</f>
        <v>0</v>
      </c>
      <c r="P916" s="84"/>
      <c r="Q916" s="81"/>
      <c r="R916" s="81"/>
      <c r="S916" s="383"/>
    </row>
    <row r="917" spans="1:19" s="107" customFormat="1" x14ac:dyDescent="0.25">
      <c r="A917" s="266"/>
      <c r="B917" s="163" t="s">
        <v>8</v>
      </c>
      <c r="C917" s="80"/>
      <c r="D917" s="81"/>
      <c r="E917" s="81"/>
      <c r="F917" s="81"/>
      <c r="G917" s="197">
        <f>2147710/1000</f>
        <v>2147.71</v>
      </c>
      <c r="H917" s="197">
        <v>3379.86</v>
      </c>
      <c r="I917" s="81"/>
      <c r="J917" s="44">
        <f t="shared" ref="J917:J920" si="1114">I917/H917</f>
        <v>0</v>
      </c>
      <c r="K917" s="41"/>
      <c r="L917" s="44">
        <f t="shared" si="1112"/>
        <v>0</v>
      </c>
      <c r="M917" s="39" t="e">
        <f t="shared" si="1113"/>
        <v>#DIV/0!</v>
      </c>
      <c r="N917" s="81">
        <f t="shared" ref="N917:N920" si="1115">H917</f>
        <v>3379.86</v>
      </c>
      <c r="O917" s="81">
        <f t="shared" ref="O917:O920" si="1116">H917-N917</f>
        <v>0</v>
      </c>
      <c r="P917" s="84">
        <f>N917/H917</f>
        <v>1</v>
      </c>
      <c r="Q917" s="81"/>
      <c r="R917" s="81"/>
      <c r="S917" s="383"/>
    </row>
    <row r="918" spans="1:19" s="107" customFormat="1" x14ac:dyDescent="0.25">
      <c r="A918" s="266"/>
      <c r="B918" s="226" t="s">
        <v>19</v>
      </c>
      <c r="C918" s="75"/>
      <c r="D918" s="76"/>
      <c r="E918" s="76"/>
      <c r="F918" s="76"/>
      <c r="G918" s="197">
        <f>113037/1000</f>
        <v>113.04</v>
      </c>
      <c r="H918" s="197">
        <v>177.89</v>
      </c>
      <c r="I918" s="81"/>
      <c r="J918" s="44">
        <f t="shared" si="1114"/>
        <v>0</v>
      </c>
      <c r="K918" s="41"/>
      <c r="L918" s="44">
        <f t="shared" si="1112"/>
        <v>0</v>
      </c>
      <c r="M918" s="39" t="e">
        <f t="shared" si="1113"/>
        <v>#DIV/0!</v>
      </c>
      <c r="N918" s="81">
        <f t="shared" si="1115"/>
        <v>177.89</v>
      </c>
      <c r="O918" s="81">
        <f t="shared" si="1116"/>
        <v>0</v>
      </c>
      <c r="P918" s="84">
        <f>N918/H918</f>
        <v>1</v>
      </c>
      <c r="Q918" s="81"/>
      <c r="R918" s="81"/>
      <c r="S918" s="383"/>
    </row>
    <row r="919" spans="1:19" s="107" customFormat="1" x14ac:dyDescent="0.25">
      <c r="A919" s="266"/>
      <c r="B919" s="75" t="s">
        <v>22</v>
      </c>
      <c r="C919" s="75"/>
      <c r="D919" s="76"/>
      <c r="E919" s="76"/>
      <c r="F919" s="79"/>
      <c r="G919" s="271"/>
      <c r="H919" s="271"/>
      <c r="I919" s="81"/>
      <c r="J919" s="44" t="e">
        <f t="shared" si="1114"/>
        <v>#DIV/0!</v>
      </c>
      <c r="K919" s="41"/>
      <c r="L919" s="44" t="e">
        <f t="shared" si="1112"/>
        <v>#DIV/0!</v>
      </c>
      <c r="M919" s="39" t="e">
        <f t="shared" si="1113"/>
        <v>#DIV/0!</v>
      </c>
      <c r="N919" s="81">
        <f t="shared" si="1115"/>
        <v>0</v>
      </c>
      <c r="O919" s="81">
        <f t="shared" si="1116"/>
        <v>0</v>
      </c>
      <c r="P919" s="84"/>
      <c r="Q919" s="81"/>
      <c r="R919" s="81"/>
      <c r="S919" s="383"/>
    </row>
    <row r="920" spans="1:19" s="107" customFormat="1" ht="102.75" customHeight="1" x14ac:dyDescent="0.25">
      <c r="A920" s="267"/>
      <c r="B920" s="226" t="s">
        <v>11</v>
      </c>
      <c r="C920" s="75"/>
      <c r="D920" s="76"/>
      <c r="E920" s="76"/>
      <c r="F920" s="79"/>
      <c r="G920" s="81"/>
      <c r="H920" s="81"/>
      <c r="I920" s="81"/>
      <c r="J920" s="44" t="e">
        <f t="shared" si="1114"/>
        <v>#DIV/0!</v>
      </c>
      <c r="K920" s="41"/>
      <c r="L920" s="44" t="e">
        <f t="shared" si="1112"/>
        <v>#DIV/0!</v>
      </c>
      <c r="M920" s="39" t="e">
        <f t="shared" si="1113"/>
        <v>#DIV/0!</v>
      </c>
      <c r="N920" s="81">
        <f t="shared" si="1115"/>
        <v>0</v>
      </c>
      <c r="O920" s="81">
        <f t="shared" si="1116"/>
        <v>0</v>
      </c>
      <c r="P920" s="84"/>
      <c r="Q920" s="81"/>
      <c r="R920" s="81"/>
      <c r="S920" s="384"/>
    </row>
    <row r="921" spans="1:19" s="107" customFormat="1" ht="53.25" customHeight="1" x14ac:dyDescent="0.25">
      <c r="A921" s="266"/>
      <c r="B921" s="226" t="s">
        <v>400</v>
      </c>
      <c r="C921" s="75"/>
      <c r="D921" s="76"/>
      <c r="E921" s="76"/>
      <c r="F921" s="79"/>
      <c r="G921" s="81">
        <f t="shared" ref="G921" si="1117">SUM(G922:G926)</f>
        <v>0</v>
      </c>
      <c r="H921" s="81">
        <f>H923+H924</f>
        <v>2.2999999999999998</v>
      </c>
      <c r="I921" s="81"/>
      <c r="J921" s="84"/>
      <c r="K921" s="81"/>
      <c r="L921" s="84"/>
      <c r="M921" s="78"/>
      <c r="N921" s="313"/>
      <c r="O921" s="313"/>
      <c r="P921" s="84"/>
      <c r="Q921" s="76"/>
      <c r="R921" s="76"/>
      <c r="S921" s="282" t="s">
        <v>448</v>
      </c>
    </row>
    <row r="922" spans="1:19" s="107" customFormat="1" x14ac:dyDescent="0.25">
      <c r="A922" s="266"/>
      <c r="B922" s="226" t="s">
        <v>10</v>
      </c>
      <c r="C922" s="75"/>
      <c r="D922" s="76"/>
      <c r="E922" s="76"/>
      <c r="F922" s="79"/>
      <c r="G922" s="81"/>
      <c r="H922" s="81"/>
      <c r="I922" s="81"/>
      <c r="J922" s="84"/>
      <c r="K922" s="81"/>
      <c r="L922" s="84"/>
      <c r="M922" s="78"/>
      <c r="N922" s="313">
        <f>N923+N924</f>
        <v>2.2999999999999998</v>
      </c>
      <c r="O922" s="313"/>
      <c r="P922" s="84"/>
      <c r="Q922" s="76"/>
      <c r="R922" s="76"/>
      <c r="S922" s="314"/>
    </row>
    <row r="923" spans="1:19" s="107" customFormat="1" x14ac:dyDescent="0.25">
      <c r="A923" s="266" t="s">
        <v>331</v>
      </c>
      <c r="B923" s="226" t="s">
        <v>8</v>
      </c>
      <c r="C923" s="75"/>
      <c r="D923" s="76"/>
      <c r="E923" s="76"/>
      <c r="F923" s="79"/>
      <c r="G923" s="81"/>
      <c r="H923" s="81">
        <v>2.1800000000000002</v>
      </c>
      <c r="I923" s="81"/>
      <c r="J923" s="84"/>
      <c r="K923" s="81"/>
      <c r="L923" s="84"/>
      <c r="M923" s="78"/>
      <c r="N923" s="313">
        <f>H923</f>
        <v>2.1800000000000002</v>
      </c>
      <c r="O923" s="313"/>
      <c r="P923" s="84">
        <f t="shared" ref="P923:P924" si="1118">N923/H923</f>
        <v>1</v>
      </c>
      <c r="Q923" s="76"/>
      <c r="R923" s="76"/>
      <c r="S923" s="315"/>
    </row>
    <row r="924" spans="1:19" s="107" customFormat="1" x14ac:dyDescent="0.25">
      <c r="A924" s="266"/>
      <c r="B924" s="226" t="s">
        <v>19</v>
      </c>
      <c r="C924" s="75"/>
      <c r="D924" s="76"/>
      <c r="E924" s="76"/>
      <c r="F924" s="79"/>
      <c r="G924" s="81"/>
      <c r="H924" s="81">
        <v>0.12</v>
      </c>
      <c r="I924" s="81"/>
      <c r="J924" s="84"/>
      <c r="K924" s="81"/>
      <c r="L924" s="84"/>
      <c r="M924" s="78"/>
      <c r="N924" s="313">
        <f>H924</f>
        <v>0.12</v>
      </c>
      <c r="O924" s="313"/>
      <c r="P924" s="84">
        <f t="shared" si="1118"/>
        <v>1</v>
      </c>
      <c r="Q924" s="76"/>
      <c r="R924" s="76"/>
      <c r="S924" s="315"/>
    </row>
    <row r="925" spans="1:19" s="107" customFormat="1" x14ac:dyDescent="0.25">
      <c r="A925" s="266"/>
      <c r="B925" s="226" t="s">
        <v>22</v>
      </c>
      <c r="C925" s="75"/>
      <c r="D925" s="76"/>
      <c r="E925" s="76"/>
      <c r="F925" s="79"/>
      <c r="G925" s="81"/>
      <c r="H925" s="81"/>
      <c r="I925" s="81"/>
      <c r="J925" s="84"/>
      <c r="K925" s="81"/>
      <c r="L925" s="84"/>
      <c r="M925" s="78"/>
      <c r="N925" s="313"/>
      <c r="O925" s="313"/>
      <c r="P925" s="84"/>
      <c r="Q925" s="76"/>
      <c r="R925" s="76"/>
      <c r="S925" s="315"/>
    </row>
    <row r="926" spans="1:19" s="107" customFormat="1" x14ac:dyDescent="0.25">
      <c r="A926" s="266"/>
      <c r="B926" s="226" t="s">
        <v>11</v>
      </c>
      <c r="C926" s="75"/>
      <c r="D926" s="76"/>
      <c r="E926" s="76"/>
      <c r="F926" s="79"/>
      <c r="G926" s="81"/>
      <c r="H926" s="81"/>
      <c r="I926" s="81"/>
      <c r="J926" s="84"/>
      <c r="K926" s="81"/>
      <c r="L926" s="84"/>
      <c r="M926" s="78"/>
      <c r="N926" s="313"/>
      <c r="O926" s="313"/>
      <c r="P926" s="84"/>
      <c r="Q926" s="76"/>
      <c r="R926" s="76"/>
      <c r="S926" s="315"/>
    </row>
    <row r="927" spans="1:19" s="158" customFormat="1" ht="106.5" customHeight="1" x14ac:dyDescent="0.25">
      <c r="A927" s="137" t="s">
        <v>47</v>
      </c>
      <c r="B927" s="138" t="s">
        <v>318</v>
      </c>
      <c r="C927" s="138" t="s">
        <v>9</v>
      </c>
      <c r="D927" s="139" t="e">
        <f>D929+D930+#REF!+#REF!+#REF!</f>
        <v>#REF!</v>
      </c>
      <c r="E927" s="139" t="e">
        <f>E929+E930+#REF!+#REF!+#REF!</f>
        <v>#REF!</v>
      </c>
      <c r="F927" s="139" t="e">
        <f>F929+F930+#REF!+#REF!+#REF!</f>
        <v>#REF!</v>
      </c>
      <c r="G927" s="348"/>
      <c r="H927" s="348">
        <f>SUM(H928:H930)</f>
        <v>0</v>
      </c>
      <c r="I927" s="349">
        <f>SUM(I928:I930)</f>
        <v>0</v>
      </c>
      <c r="J927" s="350" t="e">
        <f>I927/H927</f>
        <v>#DIV/0!</v>
      </c>
      <c r="K927" s="348">
        <f>SUM(K928:K930)</f>
        <v>0</v>
      </c>
      <c r="L927" s="351" t="e">
        <f>K927/H927</f>
        <v>#DIV/0!</v>
      </c>
      <c r="M927" s="351" t="e">
        <f>K927/I927</f>
        <v>#DIV/0!</v>
      </c>
      <c r="N927" s="351"/>
      <c r="O927" s="351"/>
      <c r="P927" s="351" t="e">
        <f t="shared" ref="P927:P930" si="1119">N927/L927</f>
        <v>#DIV/0!</v>
      </c>
      <c r="Q927" s="126"/>
      <c r="R927" s="126"/>
      <c r="S927" s="208" t="s">
        <v>60</v>
      </c>
    </row>
    <row r="928" spans="1:19" s="142" customFormat="1" x14ac:dyDescent="0.25">
      <c r="A928" s="210"/>
      <c r="B928" s="211" t="s">
        <v>10</v>
      </c>
      <c r="C928" s="145"/>
      <c r="D928" s="146"/>
      <c r="E928" s="146"/>
      <c r="F928" s="146"/>
      <c r="G928" s="352"/>
      <c r="H928" s="352"/>
      <c r="I928" s="352"/>
      <c r="J928" s="353" t="e">
        <f>I928/H928</f>
        <v>#DIV/0!</v>
      </c>
      <c r="K928" s="352"/>
      <c r="L928" s="354" t="e">
        <f>K928/H928</f>
        <v>#DIV/0!</v>
      </c>
      <c r="M928" s="354" t="e">
        <f>K928/I928</f>
        <v>#DIV/0!</v>
      </c>
      <c r="N928" s="354"/>
      <c r="O928" s="354"/>
      <c r="P928" s="354" t="e">
        <f t="shared" si="1119"/>
        <v>#DIV/0!</v>
      </c>
      <c r="Q928" s="149"/>
      <c r="R928" s="149"/>
      <c r="S928" s="212"/>
    </row>
    <row r="929" spans="1:19" s="142" customFormat="1" x14ac:dyDescent="0.25">
      <c r="A929" s="210"/>
      <c r="B929" s="211" t="s">
        <v>8</v>
      </c>
      <c r="C929" s="145"/>
      <c r="D929" s="146" t="e">
        <f>#REF!+#REF!</f>
        <v>#REF!</v>
      </c>
      <c r="E929" s="146" t="e">
        <f>#REF!+#REF!</f>
        <v>#REF!</v>
      </c>
      <c r="F929" s="146" t="e">
        <f>#REF!+#REF!</f>
        <v>#REF!</v>
      </c>
      <c r="G929" s="352"/>
      <c r="H929" s="352"/>
      <c r="I929" s="352"/>
      <c r="J929" s="353" t="e">
        <f>I929/H929</f>
        <v>#DIV/0!</v>
      </c>
      <c r="K929" s="352"/>
      <c r="L929" s="354" t="e">
        <f>K929/H929</f>
        <v>#DIV/0!</v>
      </c>
      <c r="M929" s="354" t="e">
        <f>K929/I929</f>
        <v>#DIV/0!</v>
      </c>
      <c r="N929" s="354"/>
      <c r="O929" s="354"/>
      <c r="P929" s="354" t="e">
        <f t="shared" si="1119"/>
        <v>#DIV/0!</v>
      </c>
      <c r="Q929" s="149"/>
      <c r="R929" s="149"/>
      <c r="S929" s="212"/>
    </row>
    <row r="930" spans="1:19" s="142" customFormat="1" x14ac:dyDescent="0.25">
      <c r="A930" s="213"/>
      <c r="B930" s="211" t="s">
        <v>19</v>
      </c>
      <c r="C930" s="145"/>
      <c r="D930" s="146"/>
      <c r="E930" s="146"/>
      <c r="F930" s="146"/>
      <c r="G930" s="352"/>
      <c r="H930" s="352"/>
      <c r="I930" s="352"/>
      <c r="J930" s="353" t="e">
        <f t="shared" ref="J930" si="1120">I930/H930</f>
        <v>#DIV/0!</v>
      </c>
      <c r="K930" s="352"/>
      <c r="L930" s="354" t="e">
        <f t="shared" ref="L930" si="1121">K930/H930</f>
        <v>#DIV/0!</v>
      </c>
      <c r="M930" s="354" t="e">
        <f t="shared" ref="M930" si="1122">K930/I930</f>
        <v>#DIV/0!</v>
      </c>
      <c r="N930" s="354"/>
      <c r="O930" s="354"/>
      <c r="P930" s="354" t="e">
        <f t="shared" si="1119"/>
        <v>#DIV/0!</v>
      </c>
      <c r="Q930" s="84"/>
      <c r="R930" s="84"/>
      <c r="S930" s="80"/>
    </row>
    <row r="931" spans="1:19" s="166" customFormat="1" ht="174" customHeight="1" x14ac:dyDescent="0.25">
      <c r="A931" s="137" t="s">
        <v>96</v>
      </c>
      <c r="B931" s="138" t="s">
        <v>319</v>
      </c>
      <c r="C931" s="138" t="s">
        <v>9</v>
      </c>
      <c r="D931" s="139" t="e">
        <f>D933+D934+D935+#REF!+D936</f>
        <v>#REF!</v>
      </c>
      <c r="E931" s="139" t="e">
        <f>E933+E934+E935+#REF!+E936</f>
        <v>#REF!</v>
      </c>
      <c r="F931" s="139" t="e">
        <f>F933+F934+F935+#REF!+F936</f>
        <v>#REF!</v>
      </c>
      <c r="G931" s="139">
        <f>SUM(G932:G936)</f>
        <v>98628.15</v>
      </c>
      <c r="H931" s="139">
        <f>SUM(H932:H936)</f>
        <v>130534.65</v>
      </c>
      <c r="I931" s="139">
        <f>SUM(I932:I936)</f>
        <v>21513.03</v>
      </c>
      <c r="J931" s="140">
        <f>I931/H931</f>
        <v>0.16</v>
      </c>
      <c r="K931" s="139">
        <f>SUM(K932:K936)</f>
        <v>21512.99</v>
      </c>
      <c r="L931" s="141">
        <f>K931/H931</f>
        <v>0.16</v>
      </c>
      <c r="M931" s="141">
        <f>K931/I931</f>
        <v>1</v>
      </c>
      <c r="N931" s="139">
        <f t="shared" ref="N931:O931" si="1123">SUM(N932:N936)</f>
        <v>106570.68</v>
      </c>
      <c r="O931" s="139">
        <f t="shared" si="1123"/>
        <v>19683.650000000001</v>
      </c>
      <c r="P931" s="141">
        <f t="shared" ref="P931:P944" si="1124">N931/H931</f>
        <v>0.82</v>
      </c>
      <c r="Q931" s="139"/>
      <c r="R931" s="139"/>
      <c r="S931" s="381" t="s">
        <v>488</v>
      </c>
    </row>
    <row r="932" spans="1:19" s="107" customFormat="1" ht="39.75" customHeight="1" x14ac:dyDescent="0.25">
      <c r="A932" s="210"/>
      <c r="B932" s="211" t="s">
        <v>10</v>
      </c>
      <c r="C932" s="145"/>
      <c r="D932" s="146"/>
      <c r="E932" s="146"/>
      <c r="F932" s="146"/>
      <c r="G932" s="352">
        <f>G938</f>
        <v>0</v>
      </c>
      <c r="H932" s="352">
        <f t="shared" ref="H932:I932" si="1125">H938</f>
        <v>0</v>
      </c>
      <c r="I932" s="352">
        <f t="shared" si="1125"/>
        <v>0</v>
      </c>
      <c r="J932" s="353" t="e">
        <f>I932/H932</f>
        <v>#DIV/0!</v>
      </c>
      <c r="K932" s="352">
        <f t="shared" ref="K932:K936" si="1126">K938</f>
        <v>0</v>
      </c>
      <c r="L932" s="354" t="e">
        <f>K932/H932</f>
        <v>#DIV/0!</v>
      </c>
      <c r="M932" s="354" t="e">
        <f>K932/I932</f>
        <v>#DIV/0!</v>
      </c>
      <c r="N932" s="352">
        <f t="shared" ref="N932:O936" si="1127">N938</f>
        <v>0</v>
      </c>
      <c r="O932" s="352">
        <f t="shared" si="1127"/>
        <v>0</v>
      </c>
      <c r="P932" s="354" t="e">
        <f t="shared" si="1124"/>
        <v>#DIV/0!</v>
      </c>
      <c r="Q932" s="146"/>
      <c r="R932" s="146"/>
      <c r="S932" s="366"/>
    </row>
    <row r="933" spans="1:19" s="107" customFormat="1" ht="39.75" customHeight="1" x14ac:dyDescent="0.25">
      <c r="A933" s="210"/>
      <c r="B933" s="211" t="s">
        <v>8</v>
      </c>
      <c r="C933" s="145"/>
      <c r="D933" s="146" t="e">
        <f>#REF!+#REF!</f>
        <v>#REF!</v>
      </c>
      <c r="E933" s="146" t="e">
        <f>#REF!+#REF!</f>
        <v>#REF!</v>
      </c>
      <c r="F933" s="146" t="e">
        <f>#REF!+#REF!</f>
        <v>#REF!</v>
      </c>
      <c r="G933" s="146">
        <f>G939</f>
        <v>95621.1</v>
      </c>
      <c r="H933" s="146">
        <f>H939</f>
        <v>127527.6</v>
      </c>
      <c r="I933" s="146">
        <f t="shared" ref="G933:I936" si="1128">I939</f>
        <v>20261.7</v>
      </c>
      <c r="J933" s="147">
        <f>I933/H933</f>
        <v>0.16</v>
      </c>
      <c r="K933" s="146">
        <f t="shared" si="1126"/>
        <v>20261.66</v>
      </c>
      <c r="L933" s="148">
        <f>K933/H933</f>
        <v>0.16</v>
      </c>
      <c r="M933" s="148">
        <f>K933/I933</f>
        <v>1</v>
      </c>
      <c r="N933" s="146">
        <f>N939</f>
        <v>104012.51</v>
      </c>
      <c r="O933" s="146">
        <f t="shared" si="1127"/>
        <v>19445.28</v>
      </c>
      <c r="P933" s="148">
        <f t="shared" si="1124"/>
        <v>0.82</v>
      </c>
      <c r="Q933" s="146"/>
      <c r="R933" s="146"/>
      <c r="S933" s="366"/>
    </row>
    <row r="934" spans="1:19" s="107" customFormat="1" ht="39.75" customHeight="1" x14ac:dyDescent="0.25">
      <c r="A934" s="210"/>
      <c r="B934" s="211" t="s">
        <v>19</v>
      </c>
      <c r="C934" s="145"/>
      <c r="D934" s="146"/>
      <c r="E934" s="146"/>
      <c r="F934" s="146"/>
      <c r="G934" s="146">
        <f t="shared" si="1128"/>
        <v>3007.05</v>
      </c>
      <c r="H934" s="146">
        <f t="shared" si="1128"/>
        <v>3007.05</v>
      </c>
      <c r="I934" s="146">
        <f t="shared" si="1128"/>
        <v>1251.33</v>
      </c>
      <c r="J934" s="147">
        <f t="shared" ref="J934:J942" si="1129">I934/H934</f>
        <v>0.42</v>
      </c>
      <c r="K934" s="146">
        <f t="shared" si="1126"/>
        <v>1251.33</v>
      </c>
      <c r="L934" s="148">
        <f t="shared" ref="L934:L942" si="1130">K934/H934</f>
        <v>0.42</v>
      </c>
      <c r="M934" s="148">
        <f t="shared" ref="M934:M966" si="1131">K934/I934</f>
        <v>1</v>
      </c>
      <c r="N934" s="146">
        <f t="shared" ref="N934:N936" si="1132">N940</f>
        <v>2558.17</v>
      </c>
      <c r="O934" s="146">
        <f t="shared" si="1127"/>
        <v>238.37</v>
      </c>
      <c r="P934" s="148">
        <f t="shared" si="1124"/>
        <v>0.85</v>
      </c>
      <c r="Q934" s="146"/>
      <c r="R934" s="146"/>
      <c r="S934" s="366"/>
    </row>
    <row r="935" spans="1:19" s="107" customFormat="1" ht="39.75" customHeight="1" x14ac:dyDescent="0.25">
      <c r="A935" s="210"/>
      <c r="B935" s="145" t="s">
        <v>22</v>
      </c>
      <c r="C935" s="145"/>
      <c r="D935" s="146"/>
      <c r="E935" s="146"/>
      <c r="F935" s="146"/>
      <c r="G935" s="352">
        <f t="shared" si="1128"/>
        <v>0</v>
      </c>
      <c r="H935" s="352">
        <f t="shared" si="1128"/>
        <v>0</v>
      </c>
      <c r="I935" s="352">
        <f t="shared" si="1128"/>
        <v>0</v>
      </c>
      <c r="J935" s="353" t="e">
        <f t="shared" si="1129"/>
        <v>#DIV/0!</v>
      </c>
      <c r="K935" s="352">
        <f t="shared" si="1126"/>
        <v>0</v>
      </c>
      <c r="L935" s="354" t="e">
        <f t="shared" si="1130"/>
        <v>#DIV/0!</v>
      </c>
      <c r="M935" s="354" t="e">
        <f t="shared" si="1131"/>
        <v>#DIV/0!</v>
      </c>
      <c r="N935" s="352">
        <f t="shared" si="1132"/>
        <v>0</v>
      </c>
      <c r="O935" s="352">
        <f t="shared" si="1127"/>
        <v>0</v>
      </c>
      <c r="P935" s="354" t="e">
        <f t="shared" si="1124"/>
        <v>#DIV/0!</v>
      </c>
      <c r="Q935" s="146"/>
      <c r="R935" s="146"/>
      <c r="S935" s="366"/>
    </row>
    <row r="936" spans="1:19" s="107" customFormat="1" ht="39.75" customHeight="1" x14ac:dyDescent="0.25">
      <c r="A936" s="213"/>
      <c r="B936" s="211" t="s">
        <v>11</v>
      </c>
      <c r="C936" s="145"/>
      <c r="D936" s="146"/>
      <c r="E936" s="146"/>
      <c r="F936" s="146"/>
      <c r="G936" s="352">
        <f>G942</f>
        <v>0</v>
      </c>
      <c r="H936" s="352">
        <f t="shared" si="1128"/>
        <v>0</v>
      </c>
      <c r="I936" s="352">
        <f t="shared" si="1128"/>
        <v>0</v>
      </c>
      <c r="J936" s="353" t="e">
        <f t="shared" si="1129"/>
        <v>#DIV/0!</v>
      </c>
      <c r="K936" s="352">
        <f t="shared" si="1126"/>
        <v>0</v>
      </c>
      <c r="L936" s="354" t="e">
        <f t="shared" si="1130"/>
        <v>#DIV/0!</v>
      </c>
      <c r="M936" s="354" t="e">
        <f t="shared" si="1131"/>
        <v>#DIV/0!</v>
      </c>
      <c r="N936" s="352">
        <f t="shared" si="1132"/>
        <v>0</v>
      </c>
      <c r="O936" s="352">
        <f t="shared" si="1127"/>
        <v>0</v>
      </c>
      <c r="P936" s="354" t="e">
        <f t="shared" si="1124"/>
        <v>#DIV/0!</v>
      </c>
      <c r="Q936" s="146"/>
      <c r="R936" s="146"/>
      <c r="S936" s="367"/>
    </row>
    <row r="937" spans="1:19" s="166" customFormat="1" ht="69.75" x14ac:dyDescent="0.25">
      <c r="A937" s="152" t="s">
        <v>166</v>
      </c>
      <c r="B937" s="225" t="s">
        <v>70</v>
      </c>
      <c r="C937" s="154" t="s">
        <v>2</v>
      </c>
      <c r="D937" s="155" t="e">
        <f>D939</f>
        <v>#REF!</v>
      </c>
      <c r="E937" s="155">
        <f>E939</f>
        <v>0</v>
      </c>
      <c r="F937" s="155" t="e">
        <f>F939</f>
        <v>#REF!</v>
      </c>
      <c r="G937" s="155">
        <f>SUM(G938:G942)</f>
        <v>98628.15</v>
      </c>
      <c r="H937" s="155">
        <f>SUM(H938:H942)</f>
        <v>130534.65</v>
      </c>
      <c r="I937" s="155">
        <f t="shared" ref="I937:K937" si="1133">SUM(I938:I942)</f>
        <v>21513.03</v>
      </c>
      <c r="J937" s="77">
        <f t="shared" si="1129"/>
        <v>0.16</v>
      </c>
      <c r="K937" s="155">
        <f t="shared" si="1133"/>
        <v>21512.99</v>
      </c>
      <c r="L937" s="182">
        <f t="shared" si="1130"/>
        <v>0.16</v>
      </c>
      <c r="M937" s="182">
        <f t="shared" si="1131"/>
        <v>1</v>
      </c>
      <c r="N937" s="155">
        <f t="shared" ref="N937" si="1134">SUM(N938:N942)</f>
        <v>106570.68</v>
      </c>
      <c r="O937" s="155">
        <f>SUM(O938:O942)</f>
        <v>19683.650000000001</v>
      </c>
      <c r="P937" s="182">
        <f t="shared" si="1124"/>
        <v>0.82</v>
      </c>
      <c r="Q937" s="155"/>
      <c r="R937" s="155"/>
      <c r="S937" s="372"/>
    </row>
    <row r="938" spans="1:19" s="107" customFormat="1" ht="36.75" customHeight="1" x14ac:dyDescent="0.25">
      <c r="A938" s="159"/>
      <c r="B938" s="226" t="s">
        <v>10</v>
      </c>
      <c r="C938" s="123"/>
      <c r="D938" s="79"/>
      <c r="E938" s="79"/>
      <c r="F938" s="79"/>
      <c r="G938" s="76">
        <f t="shared" ref="G938:I942" si="1135">G944+G962</f>
        <v>0</v>
      </c>
      <c r="H938" s="76">
        <f t="shared" si="1135"/>
        <v>0</v>
      </c>
      <c r="I938" s="76">
        <f t="shared" si="1135"/>
        <v>0</v>
      </c>
      <c r="J938" s="38" t="e">
        <f t="shared" si="1129"/>
        <v>#DIV/0!</v>
      </c>
      <c r="K938" s="37">
        <f>K944+K962</f>
        <v>0</v>
      </c>
      <c r="L938" s="39" t="e">
        <f t="shared" si="1130"/>
        <v>#DIV/0!</v>
      </c>
      <c r="M938" s="39" t="e">
        <f t="shared" si="1131"/>
        <v>#DIV/0!</v>
      </c>
      <c r="N938" s="37">
        <f t="shared" ref="N938:O942" si="1136">N944+N962</f>
        <v>0</v>
      </c>
      <c r="O938" s="37">
        <f t="shared" si="1136"/>
        <v>0</v>
      </c>
      <c r="P938" s="39" t="e">
        <f t="shared" si="1124"/>
        <v>#DIV/0!</v>
      </c>
      <c r="Q938" s="76"/>
      <c r="R938" s="76"/>
      <c r="S938" s="373"/>
    </row>
    <row r="939" spans="1:19" s="107" customFormat="1" ht="36.75" customHeight="1" x14ac:dyDescent="0.25">
      <c r="A939" s="159"/>
      <c r="B939" s="226" t="s">
        <v>8</v>
      </c>
      <c r="C939" s="123"/>
      <c r="D939" s="76" t="e">
        <f>D945+#REF!+#REF!+#REF!</f>
        <v>#REF!</v>
      </c>
      <c r="E939" s="76"/>
      <c r="F939" s="76" t="e">
        <f>F945+#REF!+#REF!+#REF!</f>
        <v>#REF!</v>
      </c>
      <c r="G939" s="76">
        <f>G945+G963</f>
        <v>95621.1</v>
      </c>
      <c r="H939" s="76">
        <f>H945+H963</f>
        <v>127527.6</v>
      </c>
      <c r="I939" s="76">
        <f t="shared" ref="I939" si="1137">I945+I963</f>
        <v>20261.7</v>
      </c>
      <c r="J939" s="77">
        <f t="shared" si="1129"/>
        <v>0.16</v>
      </c>
      <c r="K939" s="76">
        <f t="shared" ref="K939" si="1138">K945+K963</f>
        <v>20261.66</v>
      </c>
      <c r="L939" s="78">
        <f t="shared" si="1130"/>
        <v>0.16</v>
      </c>
      <c r="M939" s="78">
        <f t="shared" si="1131"/>
        <v>1</v>
      </c>
      <c r="N939" s="76">
        <f t="shared" si="1136"/>
        <v>104012.51</v>
      </c>
      <c r="O939" s="76">
        <f t="shared" si="1136"/>
        <v>19445.28</v>
      </c>
      <c r="P939" s="78">
        <f t="shared" si="1124"/>
        <v>0.82</v>
      </c>
      <c r="Q939" s="76"/>
      <c r="R939" s="76"/>
      <c r="S939" s="373"/>
    </row>
    <row r="940" spans="1:19" s="107" customFormat="1" ht="36.75" customHeight="1" x14ac:dyDescent="0.25">
      <c r="A940" s="159"/>
      <c r="B940" s="226" t="s">
        <v>19</v>
      </c>
      <c r="C940" s="123"/>
      <c r="D940" s="79"/>
      <c r="E940" s="79"/>
      <c r="F940" s="79"/>
      <c r="G940" s="76">
        <f>G946+G964</f>
        <v>3007.05</v>
      </c>
      <c r="H940" s="76">
        <f>H946+H964</f>
        <v>3007.05</v>
      </c>
      <c r="I940" s="76">
        <f t="shared" ref="I940" si="1139">I946+I964</f>
        <v>1251.33</v>
      </c>
      <c r="J940" s="77">
        <f t="shared" si="1129"/>
        <v>0.42</v>
      </c>
      <c r="K940" s="76">
        <f t="shared" ref="K940" si="1140">K946+K964</f>
        <v>1251.33</v>
      </c>
      <c r="L940" s="78">
        <f t="shared" si="1130"/>
        <v>0.42</v>
      </c>
      <c r="M940" s="78">
        <f t="shared" si="1131"/>
        <v>1</v>
      </c>
      <c r="N940" s="76">
        <f t="shared" si="1136"/>
        <v>2558.17</v>
      </c>
      <c r="O940" s="76">
        <f t="shared" si="1136"/>
        <v>238.37</v>
      </c>
      <c r="P940" s="78">
        <f t="shared" si="1124"/>
        <v>0.85</v>
      </c>
      <c r="Q940" s="76"/>
      <c r="R940" s="76"/>
      <c r="S940" s="373"/>
    </row>
    <row r="941" spans="1:19" s="107" customFormat="1" ht="75" customHeight="1" x14ac:dyDescent="0.25">
      <c r="A941" s="159"/>
      <c r="B941" s="75" t="s">
        <v>22</v>
      </c>
      <c r="C941" s="123"/>
      <c r="D941" s="79"/>
      <c r="E941" s="79"/>
      <c r="F941" s="79"/>
      <c r="G941" s="76">
        <f t="shared" si="1135"/>
        <v>0</v>
      </c>
      <c r="H941" s="76">
        <f t="shared" si="1135"/>
        <v>0</v>
      </c>
      <c r="I941" s="76">
        <f t="shared" si="1135"/>
        <v>0</v>
      </c>
      <c r="J941" s="38" t="e">
        <f t="shared" si="1129"/>
        <v>#DIV/0!</v>
      </c>
      <c r="K941" s="37">
        <f>K947+K965</f>
        <v>0</v>
      </c>
      <c r="L941" s="39" t="e">
        <f t="shared" si="1130"/>
        <v>#DIV/0!</v>
      </c>
      <c r="M941" s="39" t="e">
        <f t="shared" si="1131"/>
        <v>#DIV/0!</v>
      </c>
      <c r="N941" s="76">
        <f t="shared" si="1136"/>
        <v>0</v>
      </c>
      <c r="O941" s="76">
        <f t="shared" si="1136"/>
        <v>0</v>
      </c>
      <c r="P941" s="39" t="e">
        <f t="shared" si="1124"/>
        <v>#DIV/0!</v>
      </c>
      <c r="Q941" s="76"/>
      <c r="R941" s="76"/>
      <c r="S941" s="373"/>
    </row>
    <row r="942" spans="1:19" s="107" customFormat="1" ht="55.5" customHeight="1" x14ac:dyDescent="0.25">
      <c r="A942" s="162"/>
      <c r="B942" s="226" t="s">
        <v>11</v>
      </c>
      <c r="C942" s="123"/>
      <c r="D942" s="79"/>
      <c r="E942" s="79"/>
      <c r="F942" s="79"/>
      <c r="G942" s="76">
        <f t="shared" si="1135"/>
        <v>0</v>
      </c>
      <c r="H942" s="76">
        <f t="shared" si="1135"/>
        <v>0</v>
      </c>
      <c r="I942" s="76">
        <f t="shared" si="1135"/>
        <v>0</v>
      </c>
      <c r="J942" s="38" t="e">
        <f t="shared" si="1129"/>
        <v>#DIV/0!</v>
      </c>
      <c r="K942" s="37">
        <f>K948+K966</f>
        <v>0</v>
      </c>
      <c r="L942" s="39" t="e">
        <f t="shared" si="1130"/>
        <v>#DIV/0!</v>
      </c>
      <c r="M942" s="39" t="e">
        <f t="shared" si="1131"/>
        <v>#DIV/0!</v>
      </c>
      <c r="N942" s="76">
        <f t="shared" si="1136"/>
        <v>0</v>
      </c>
      <c r="O942" s="76">
        <f t="shared" si="1136"/>
        <v>0</v>
      </c>
      <c r="P942" s="39" t="e">
        <f t="shared" si="1124"/>
        <v>#DIV/0!</v>
      </c>
      <c r="Q942" s="76"/>
      <c r="R942" s="76"/>
      <c r="S942" s="374"/>
    </row>
    <row r="943" spans="1:19" s="244" customFormat="1" ht="56.25" customHeight="1" x14ac:dyDescent="0.25">
      <c r="A943" s="67" t="s">
        <v>167</v>
      </c>
      <c r="B943" s="227" t="s">
        <v>255</v>
      </c>
      <c r="C943" s="69" t="s">
        <v>17</v>
      </c>
      <c r="D943" s="70" t="e">
        <f>D944+D945+D946+D947+#REF!+D948</f>
        <v>#REF!</v>
      </c>
      <c r="E943" s="70" t="e">
        <f>E944+E945+E946+E947+#REF!+E948</f>
        <v>#REF!</v>
      </c>
      <c r="F943" s="70" t="e">
        <f>F944+F945+F946+F947+#REF!+F948</f>
        <v>#REF!</v>
      </c>
      <c r="G943" s="70">
        <f>SUM(G944:G948)</f>
        <v>58377.41</v>
      </c>
      <c r="H943" s="70">
        <f t="shared" ref="H943:K943" si="1141">SUM(H944:H948)</f>
        <v>58377.41</v>
      </c>
      <c r="I943" s="70">
        <f t="shared" si="1141"/>
        <v>0</v>
      </c>
      <c r="J943" s="329">
        <f>I943/H943</f>
        <v>0</v>
      </c>
      <c r="K943" s="330">
        <f t="shared" si="1141"/>
        <v>0</v>
      </c>
      <c r="L943" s="56">
        <f>K943/H943</f>
        <v>0</v>
      </c>
      <c r="M943" s="56" t="e">
        <f t="shared" si="1131"/>
        <v>#DIV/0!</v>
      </c>
      <c r="N943" s="70">
        <f t="shared" ref="N943:O943" si="1142">SUM(N944:N948)</f>
        <v>34413.440000000002</v>
      </c>
      <c r="O943" s="76">
        <f t="shared" si="1142"/>
        <v>19683.650000000001</v>
      </c>
      <c r="P943" s="73">
        <f t="shared" si="1124"/>
        <v>0.59</v>
      </c>
      <c r="Q943" s="70"/>
      <c r="R943" s="70"/>
      <c r="S943" s="372"/>
    </row>
    <row r="944" spans="1:19" s="107" customFormat="1" ht="46.5" customHeight="1" x14ac:dyDescent="0.25">
      <c r="A944" s="167"/>
      <c r="B944" s="226" t="s">
        <v>10</v>
      </c>
      <c r="C944" s="75"/>
      <c r="D944" s="76"/>
      <c r="E944" s="76"/>
      <c r="F944" s="76"/>
      <c r="G944" s="76">
        <f>G950</f>
        <v>0</v>
      </c>
      <c r="H944" s="76">
        <f t="shared" ref="H944:I944" si="1143">H950</f>
        <v>0</v>
      </c>
      <c r="I944" s="76">
        <f t="shared" si="1143"/>
        <v>0</v>
      </c>
      <c r="J944" s="38" t="e">
        <f t="shared" ref="J944" si="1144">I944/H944</f>
        <v>#DIV/0!</v>
      </c>
      <c r="K944" s="37">
        <f t="shared" ref="K944" si="1145">K950</f>
        <v>0</v>
      </c>
      <c r="L944" s="39" t="e">
        <f t="shared" ref="L944" si="1146">K944/H944</f>
        <v>#DIV/0!</v>
      </c>
      <c r="M944" s="39" t="e">
        <f t="shared" si="1131"/>
        <v>#DIV/0!</v>
      </c>
      <c r="N944" s="76">
        <f t="shared" ref="N944:O948" si="1147">N950</f>
        <v>0</v>
      </c>
      <c r="O944" s="76">
        <f t="shared" si="1147"/>
        <v>0</v>
      </c>
      <c r="P944" s="39" t="e">
        <f t="shared" si="1124"/>
        <v>#DIV/0!</v>
      </c>
      <c r="Q944" s="76"/>
      <c r="R944" s="76"/>
      <c r="S944" s="373"/>
    </row>
    <row r="945" spans="1:19" s="107" customFormat="1" ht="50.25" customHeight="1" x14ac:dyDescent="0.25">
      <c r="A945" s="167"/>
      <c r="B945" s="226" t="s">
        <v>8</v>
      </c>
      <c r="C945" s="75"/>
      <c r="D945" s="76"/>
      <c r="E945" s="76"/>
      <c r="F945" s="76"/>
      <c r="G945" s="76">
        <f>G951+G957</f>
        <v>57382.9</v>
      </c>
      <c r="H945" s="76">
        <f t="shared" ref="G945:I946" si="1148">H951+H957</f>
        <v>57382.9</v>
      </c>
      <c r="I945" s="76">
        <f t="shared" si="1148"/>
        <v>0</v>
      </c>
      <c r="J945" s="38">
        <f>I945/H945</f>
        <v>0</v>
      </c>
      <c r="K945" s="37">
        <f>K951+K957</f>
        <v>0</v>
      </c>
      <c r="L945" s="39">
        <f>K945/H945</f>
        <v>0</v>
      </c>
      <c r="M945" s="39" t="e">
        <f t="shared" si="1131"/>
        <v>#DIV/0!</v>
      </c>
      <c r="N945" s="76">
        <f>N951+N957</f>
        <v>33867.81</v>
      </c>
      <c r="O945" s="76">
        <f t="shared" si="1147"/>
        <v>19445.28</v>
      </c>
      <c r="P945" s="78">
        <f>N945/H945</f>
        <v>0.59</v>
      </c>
      <c r="Q945" s="76"/>
      <c r="R945" s="76"/>
      <c r="S945" s="373"/>
    </row>
    <row r="946" spans="1:19" s="107" customFormat="1" ht="40.5" customHeight="1" x14ac:dyDescent="0.25">
      <c r="A946" s="167"/>
      <c r="B946" s="226" t="s">
        <v>19</v>
      </c>
      <c r="C946" s="75"/>
      <c r="D946" s="76"/>
      <c r="E946" s="76"/>
      <c r="F946" s="76"/>
      <c r="G946" s="76">
        <f t="shared" si="1148"/>
        <v>994.51</v>
      </c>
      <c r="H946" s="76">
        <f>H952+H958</f>
        <v>994.51</v>
      </c>
      <c r="I946" s="76">
        <f t="shared" si="1148"/>
        <v>0</v>
      </c>
      <c r="J946" s="38">
        <f t="shared" ref="J946:J948" si="1149">I946/H946</f>
        <v>0</v>
      </c>
      <c r="K946" s="37">
        <f>K952+K958</f>
        <v>0</v>
      </c>
      <c r="L946" s="39">
        <f t="shared" ref="L946:L948" si="1150">K946/H946</f>
        <v>0</v>
      </c>
      <c r="M946" s="39" t="e">
        <f t="shared" si="1131"/>
        <v>#DIV/0!</v>
      </c>
      <c r="N946" s="76">
        <f>N952+N958</f>
        <v>545.63</v>
      </c>
      <c r="O946" s="76">
        <f t="shared" si="1147"/>
        <v>238.37</v>
      </c>
      <c r="P946" s="78">
        <f>N946/H946</f>
        <v>0.55000000000000004</v>
      </c>
      <c r="Q946" s="76"/>
      <c r="R946" s="76"/>
      <c r="S946" s="373"/>
    </row>
    <row r="947" spans="1:19" s="107" customFormat="1" ht="39" customHeight="1" x14ac:dyDescent="0.25">
      <c r="A947" s="167"/>
      <c r="B947" s="75" t="s">
        <v>22</v>
      </c>
      <c r="C947" s="75"/>
      <c r="D947" s="76"/>
      <c r="E947" s="76"/>
      <c r="F947" s="76"/>
      <c r="G947" s="76">
        <f t="shared" ref="G947:I948" si="1151">G953</f>
        <v>0</v>
      </c>
      <c r="H947" s="76">
        <f t="shared" si="1151"/>
        <v>0</v>
      </c>
      <c r="I947" s="76">
        <f t="shared" si="1151"/>
        <v>0</v>
      </c>
      <c r="J947" s="38" t="e">
        <f t="shared" si="1149"/>
        <v>#DIV/0!</v>
      </c>
      <c r="K947" s="76">
        <f t="shared" ref="K947:K948" si="1152">K953</f>
        <v>0</v>
      </c>
      <c r="L947" s="39" t="e">
        <f t="shared" si="1150"/>
        <v>#DIV/0!</v>
      </c>
      <c r="M947" s="39" t="e">
        <f t="shared" si="1131"/>
        <v>#DIV/0!</v>
      </c>
      <c r="N947" s="76">
        <f t="shared" ref="N947:N948" si="1153">N953</f>
        <v>0</v>
      </c>
      <c r="O947" s="76">
        <f t="shared" si="1147"/>
        <v>0</v>
      </c>
      <c r="P947" s="39" t="e">
        <f>N947/H947</f>
        <v>#DIV/0!</v>
      </c>
      <c r="Q947" s="76"/>
      <c r="R947" s="76"/>
      <c r="S947" s="373"/>
    </row>
    <row r="948" spans="1:19" s="107" customFormat="1" ht="48" customHeight="1" x14ac:dyDescent="0.25">
      <c r="A948" s="168"/>
      <c r="B948" s="226" t="s">
        <v>11</v>
      </c>
      <c r="C948" s="75"/>
      <c r="D948" s="76"/>
      <c r="E948" s="76"/>
      <c r="F948" s="76"/>
      <c r="G948" s="76">
        <f t="shared" si="1151"/>
        <v>0</v>
      </c>
      <c r="H948" s="76">
        <f t="shared" si="1151"/>
        <v>0</v>
      </c>
      <c r="I948" s="76">
        <f t="shared" si="1151"/>
        <v>0</v>
      </c>
      <c r="J948" s="38" t="e">
        <f t="shared" si="1149"/>
        <v>#DIV/0!</v>
      </c>
      <c r="K948" s="76">
        <f t="shared" si="1152"/>
        <v>0</v>
      </c>
      <c r="L948" s="39" t="e">
        <f t="shared" si="1150"/>
        <v>#DIV/0!</v>
      </c>
      <c r="M948" s="39" t="e">
        <f t="shared" si="1131"/>
        <v>#DIV/0!</v>
      </c>
      <c r="N948" s="76">
        <f t="shared" si="1153"/>
        <v>0</v>
      </c>
      <c r="O948" s="76">
        <f t="shared" si="1147"/>
        <v>0</v>
      </c>
      <c r="P948" s="39" t="e">
        <f>N948/H948</f>
        <v>#DIV/0!</v>
      </c>
      <c r="Q948" s="76"/>
      <c r="R948" s="76"/>
      <c r="S948" s="374"/>
    </row>
    <row r="949" spans="1:19" s="107" customFormat="1" ht="46.5" outlineLevel="1" x14ac:dyDescent="0.25">
      <c r="A949" s="187" t="s">
        <v>176</v>
      </c>
      <c r="B949" s="226" t="s">
        <v>240</v>
      </c>
      <c r="C949" s="75" t="s">
        <v>17</v>
      </c>
      <c r="D949" s="76" t="e">
        <f>D950+D951+D952+D953+#REF!+D954</f>
        <v>#REF!</v>
      </c>
      <c r="E949" s="76" t="e">
        <f>E950+E951+E952+E953+#REF!+E954</f>
        <v>#REF!</v>
      </c>
      <c r="F949" s="76" t="e">
        <f>F950+F951+F952+F953+#REF!+F954</f>
        <v>#REF!</v>
      </c>
      <c r="G949" s="76">
        <f>SUM(G950:G954)</f>
        <v>46911.42</v>
      </c>
      <c r="H949" s="76" t="s">
        <v>494</v>
      </c>
      <c r="I949" s="76">
        <f t="shared" ref="I949:K949" si="1154">SUM(I950:I954)</f>
        <v>0</v>
      </c>
      <c r="J949" s="38" t="e">
        <f>I949/H949</f>
        <v>#VALUE!</v>
      </c>
      <c r="K949" s="76">
        <f t="shared" si="1154"/>
        <v>0</v>
      </c>
      <c r="L949" s="39" t="e">
        <f>K949/H949</f>
        <v>#VALUE!</v>
      </c>
      <c r="M949" s="39" t="e">
        <f t="shared" si="1131"/>
        <v>#DIV/0!</v>
      </c>
      <c r="N949" s="76">
        <f t="shared" ref="N949:O949" si="1155">SUM(N950:N954)</f>
        <v>27227.77</v>
      </c>
      <c r="O949" s="76">
        <f t="shared" si="1155"/>
        <v>19683.650000000001</v>
      </c>
      <c r="P949" s="39" t="e">
        <f t="shared" ref="P949:P962" si="1156">N949/H949</f>
        <v>#VALUE!</v>
      </c>
      <c r="Q949" s="76"/>
      <c r="R949" s="76"/>
      <c r="S949" s="372" t="s">
        <v>424</v>
      </c>
    </row>
    <row r="950" spans="1:19" s="107" customFormat="1" ht="30.75" customHeight="1" outlineLevel="1" x14ac:dyDescent="0.25">
      <c r="A950" s="167"/>
      <c r="B950" s="226" t="s">
        <v>10</v>
      </c>
      <c r="C950" s="75"/>
      <c r="D950" s="76"/>
      <c r="E950" s="76"/>
      <c r="F950" s="76"/>
      <c r="G950" s="76"/>
      <c r="H950" s="76"/>
      <c r="I950" s="161"/>
      <c r="J950" s="38" t="e">
        <f t="shared" ref="J950" si="1157">I950/H950</f>
        <v>#DIV/0!</v>
      </c>
      <c r="K950" s="161"/>
      <c r="L950" s="39" t="e">
        <f t="shared" ref="L950" si="1158">K950/H950</f>
        <v>#DIV/0!</v>
      </c>
      <c r="M950" s="39" t="e">
        <f t="shared" si="1131"/>
        <v>#DIV/0!</v>
      </c>
      <c r="N950" s="76">
        <f t="shared" ref="N950" si="1159">H950</f>
        <v>0</v>
      </c>
      <c r="O950" s="76">
        <f t="shared" ref="O950:O954" si="1160">H950-N950</f>
        <v>0</v>
      </c>
      <c r="P950" s="39" t="e">
        <f t="shared" si="1156"/>
        <v>#DIV/0!</v>
      </c>
      <c r="Q950" s="76"/>
      <c r="R950" s="76"/>
      <c r="S950" s="373"/>
    </row>
    <row r="951" spans="1:19" s="107" customFormat="1" ht="30.75" customHeight="1" outlineLevel="1" x14ac:dyDescent="0.25">
      <c r="A951" s="167"/>
      <c r="B951" s="226" t="s">
        <v>8</v>
      </c>
      <c r="C951" s="75"/>
      <c r="D951" s="76"/>
      <c r="E951" s="76"/>
      <c r="F951" s="76"/>
      <c r="G951" s="76">
        <v>46354.400000000001</v>
      </c>
      <c r="H951" s="76">
        <v>46354.400000000001</v>
      </c>
      <c r="I951" s="76"/>
      <c r="J951" s="38">
        <f>I951/H951</f>
        <v>0</v>
      </c>
      <c r="K951" s="76"/>
      <c r="L951" s="39">
        <f>K951/H951</f>
        <v>0</v>
      </c>
      <c r="M951" s="39" t="e">
        <f t="shared" si="1131"/>
        <v>#DIV/0!</v>
      </c>
      <c r="N951" s="197">
        <v>26909.119999999999</v>
      </c>
      <c r="O951" s="197">
        <f t="shared" si="1160"/>
        <v>19445.28</v>
      </c>
      <c r="P951" s="198">
        <f t="shared" si="1156"/>
        <v>0.57999999999999996</v>
      </c>
      <c r="Q951" s="76"/>
      <c r="R951" s="76"/>
      <c r="S951" s="373"/>
    </row>
    <row r="952" spans="1:19" s="107" customFormat="1" ht="57" customHeight="1" outlineLevel="1" x14ac:dyDescent="0.25">
      <c r="A952" s="167"/>
      <c r="B952" s="226" t="s">
        <v>19</v>
      </c>
      <c r="C952" s="75"/>
      <c r="D952" s="76"/>
      <c r="E952" s="76"/>
      <c r="F952" s="76"/>
      <c r="G952" s="76">
        <v>557.02</v>
      </c>
      <c r="H952" s="76">
        <v>557.02</v>
      </c>
      <c r="I952" s="76"/>
      <c r="J952" s="38">
        <f t="shared" ref="J952:J954" si="1161">I952/H952</f>
        <v>0</v>
      </c>
      <c r="K952" s="76"/>
      <c r="L952" s="39">
        <f t="shared" ref="L952:L954" si="1162">K952/H952</f>
        <v>0</v>
      </c>
      <c r="M952" s="39" t="e">
        <f t="shared" si="1131"/>
        <v>#DIV/0!</v>
      </c>
      <c r="N952" s="197">
        <v>318.64999999999998</v>
      </c>
      <c r="O952" s="197">
        <f>H952-N952</f>
        <v>238.37</v>
      </c>
      <c r="P952" s="198">
        <f t="shared" si="1156"/>
        <v>0.56999999999999995</v>
      </c>
      <c r="Q952" s="76"/>
      <c r="R952" s="76"/>
      <c r="S952" s="373"/>
    </row>
    <row r="953" spans="1:19" s="107" customFormat="1" ht="63" customHeight="1" outlineLevel="1" x14ac:dyDescent="0.25">
      <c r="A953" s="167"/>
      <c r="B953" s="75" t="s">
        <v>22</v>
      </c>
      <c r="C953" s="75"/>
      <c r="D953" s="76"/>
      <c r="E953" s="76"/>
      <c r="F953" s="76"/>
      <c r="G953" s="76"/>
      <c r="H953" s="76"/>
      <c r="I953" s="161"/>
      <c r="J953" s="38" t="e">
        <f t="shared" si="1161"/>
        <v>#DIV/0!</v>
      </c>
      <c r="K953" s="76"/>
      <c r="L953" s="39" t="e">
        <f t="shared" si="1162"/>
        <v>#DIV/0!</v>
      </c>
      <c r="M953" s="39" t="e">
        <f t="shared" si="1131"/>
        <v>#DIV/0!</v>
      </c>
      <c r="N953" s="76"/>
      <c r="O953" s="76">
        <f t="shared" si="1160"/>
        <v>0</v>
      </c>
      <c r="P953" s="39" t="e">
        <f t="shared" si="1156"/>
        <v>#DIV/0!</v>
      </c>
      <c r="Q953" s="76"/>
      <c r="R953" s="76"/>
      <c r="S953" s="373"/>
    </row>
    <row r="954" spans="1:19" s="107" customFormat="1" ht="30.75" customHeight="1" outlineLevel="1" collapsed="1" x14ac:dyDescent="0.25">
      <c r="A954" s="168"/>
      <c r="B954" s="226" t="s">
        <v>11</v>
      </c>
      <c r="C954" s="75"/>
      <c r="D954" s="76"/>
      <c r="E954" s="76"/>
      <c r="F954" s="76"/>
      <c r="G954" s="76"/>
      <c r="H954" s="76"/>
      <c r="I954" s="161"/>
      <c r="J954" s="38" t="e">
        <f t="shared" si="1161"/>
        <v>#DIV/0!</v>
      </c>
      <c r="K954" s="76"/>
      <c r="L954" s="39" t="e">
        <f t="shared" si="1162"/>
        <v>#DIV/0!</v>
      </c>
      <c r="M954" s="39" t="e">
        <f t="shared" si="1131"/>
        <v>#DIV/0!</v>
      </c>
      <c r="N954" s="76"/>
      <c r="O954" s="76">
        <f t="shared" si="1160"/>
        <v>0</v>
      </c>
      <c r="P954" s="39" t="e">
        <f t="shared" si="1156"/>
        <v>#DIV/0!</v>
      </c>
      <c r="Q954" s="76"/>
      <c r="R954" s="76"/>
      <c r="S954" s="374"/>
    </row>
    <row r="955" spans="1:19" s="107" customFormat="1" ht="46.5" outlineLevel="1" x14ac:dyDescent="0.25">
      <c r="A955" s="187" t="s">
        <v>254</v>
      </c>
      <c r="B955" s="226" t="s">
        <v>241</v>
      </c>
      <c r="C955" s="75" t="s">
        <v>17</v>
      </c>
      <c r="D955" s="76" t="e">
        <f>D956+D957+D958+D959+#REF!+D960</f>
        <v>#REF!</v>
      </c>
      <c r="E955" s="76" t="e">
        <f>E956+E957+E958+E959+#REF!+E960</f>
        <v>#REF!</v>
      </c>
      <c r="F955" s="76" t="e">
        <f>F956+F957+F958+F959+#REF!+F960</f>
        <v>#REF!</v>
      </c>
      <c r="G955" s="76">
        <f>SUM(G956:G960)</f>
        <v>11465.99</v>
      </c>
      <c r="H955" s="76">
        <f>SUM(H956:H960)</f>
        <v>11465.99</v>
      </c>
      <c r="I955" s="76">
        <f t="shared" ref="I955" si="1163">SUM(I956:I960)</f>
        <v>0</v>
      </c>
      <c r="J955" s="77">
        <f>I955/H955</f>
        <v>0</v>
      </c>
      <c r="K955" s="76">
        <f t="shared" ref="K955" si="1164">SUM(K956:K960)</f>
        <v>0</v>
      </c>
      <c r="L955" s="39">
        <f>K955/H955</f>
        <v>0</v>
      </c>
      <c r="M955" s="39" t="e">
        <f t="shared" si="1131"/>
        <v>#DIV/0!</v>
      </c>
      <c r="N955" s="76">
        <f t="shared" ref="N955:O955" si="1165">SUM(N956:N960)</f>
        <v>7185.67</v>
      </c>
      <c r="O955" s="76">
        <f t="shared" si="1165"/>
        <v>4280.32</v>
      </c>
      <c r="P955" s="78">
        <f t="shared" si="1156"/>
        <v>0.63</v>
      </c>
      <c r="Q955" s="76"/>
      <c r="R955" s="76"/>
      <c r="S955" s="372" t="s">
        <v>420</v>
      </c>
    </row>
    <row r="956" spans="1:19" s="107" customFormat="1" ht="42.75" customHeight="1" outlineLevel="1" x14ac:dyDescent="0.25">
      <c r="A956" s="167"/>
      <c r="B956" s="226" t="s">
        <v>10</v>
      </c>
      <c r="C956" s="75"/>
      <c r="D956" s="76"/>
      <c r="E956" s="76"/>
      <c r="F956" s="76"/>
      <c r="G956" s="76"/>
      <c r="H956" s="76"/>
      <c r="I956" s="161"/>
      <c r="J956" s="38" t="e">
        <f t="shared" ref="J956" si="1166">I956/H956</f>
        <v>#DIV/0!</v>
      </c>
      <c r="K956" s="40"/>
      <c r="L956" s="39" t="e">
        <f t="shared" ref="L956" si="1167">K956/H956</f>
        <v>#DIV/0!</v>
      </c>
      <c r="M956" s="39" t="e">
        <f t="shared" si="1131"/>
        <v>#DIV/0!</v>
      </c>
      <c r="N956" s="37">
        <f t="shared" ref="N956" si="1168">H956</f>
        <v>0</v>
      </c>
      <c r="O956" s="37">
        <f t="shared" ref="O956:O960" si="1169">H956-N956</f>
        <v>0</v>
      </c>
      <c r="P956" s="39" t="e">
        <f t="shared" si="1156"/>
        <v>#DIV/0!</v>
      </c>
      <c r="Q956" s="76"/>
      <c r="R956" s="76"/>
      <c r="S956" s="373"/>
    </row>
    <row r="957" spans="1:19" s="107" customFormat="1" ht="42.75" customHeight="1" outlineLevel="1" x14ac:dyDescent="0.25">
      <c r="A957" s="167"/>
      <c r="B957" s="226" t="s">
        <v>8</v>
      </c>
      <c r="C957" s="75"/>
      <c r="D957" s="76"/>
      <c r="E957" s="76"/>
      <c r="F957" s="76"/>
      <c r="G957" s="76">
        <v>11028.5</v>
      </c>
      <c r="H957" s="76">
        <v>11028.5</v>
      </c>
      <c r="I957" s="76"/>
      <c r="J957" s="77">
        <f>I957/H957</f>
        <v>0</v>
      </c>
      <c r="K957" s="76"/>
      <c r="L957" s="78">
        <f>K957/H957</f>
        <v>0</v>
      </c>
      <c r="M957" s="39" t="e">
        <f t="shared" si="1131"/>
        <v>#DIV/0!</v>
      </c>
      <c r="N957" s="76">
        <v>6958.69</v>
      </c>
      <c r="O957" s="76">
        <f t="shared" si="1169"/>
        <v>4069.81</v>
      </c>
      <c r="P957" s="78">
        <f t="shared" si="1156"/>
        <v>0.63</v>
      </c>
      <c r="Q957" s="76"/>
      <c r="R957" s="76"/>
      <c r="S957" s="373"/>
    </row>
    <row r="958" spans="1:19" s="107" customFormat="1" ht="42.75" customHeight="1" outlineLevel="1" x14ac:dyDescent="0.25">
      <c r="A958" s="167"/>
      <c r="B958" s="226" t="s">
        <v>19</v>
      </c>
      <c r="C958" s="75"/>
      <c r="D958" s="76"/>
      <c r="E958" s="76"/>
      <c r="F958" s="76"/>
      <c r="G958" s="76">
        <v>437.49</v>
      </c>
      <c r="H958" s="76">
        <v>437.49</v>
      </c>
      <c r="I958" s="76"/>
      <c r="J958" s="77">
        <f t="shared" ref="J958:J960" si="1170">I958/H958</f>
        <v>0</v>
      </c>
      <c r="K958" s="76">
        <f>I958</f>
        <v>0</v>
      </c>
      <c r="L958" s="78">
        <f t="shared" ref="L958:L960" si="1171">K958/H958</f>
        <v>0</v>
      </c>
      <c r="M958" s="39" t="e">
        <f t="shared" si="1131"/>
        <v>#DIV/0!</v>
      </c>
      <c r="N958" s="76">
        <v>226.98</v>
      </c>
      <c r="O958" s="76">
        <f t="shared" si="1169"/>
        <v>210.51</v>
      </c>
      <c r="P958" s="78">
        <f t="shared" si="1156"/>
        <v>0.52</v>
      </c>
      <c r="Q958" s="76"/>
      <c r="R958" s="76"/>
      <c r="S958" s="373"/>
    </row>
    <row r="959" spans="1:19" s="107" customFormat="1" ht="42.75" customHeight="1" outlineLevel="1" x14ac:dyDescent="0.25">
      <c r="A959" s="167"/>
      <c r="B959" s="75" t="s">
        <v>22</v>
      </c>
      <c r="C959" s="75"/>
      <c r="D959" s="76"/>
      <c r="E959" s="76"/>
      <c r="F959" s="76"/>
      <c r="G959" s="76"/>
      <c r="H959" s="76"/>
      <c r="I959" s="161"/>
      <c r="J959" s="38" t="e">
        <f t="shared" si="1170"/>
        <v>#DIV/0!</v>
      </c>
      <c r="K959" s="37"/>
      <c r="L959" s="39" t="e">
        <f t="shared" si="1171"/>
        <v>#DIV/0!</v>
      </c>
      <c r="M959" s="39" t="e">
        <f t="shared" si="1131"/>
        <v>#DIV/0!</v>
      </c>
      <c r="N959" s="37"/>
      <c r="O959" s="37">
        <f t="shared" si="1169"/>
        <v>0</v>
      </c>
      <c r="P959" s="39" t="e">
        <f t="shared" si="1156"/>
        <v>#DIV/0!</v>
      </c>
      <c r="Q959" s="76"/>
      <c r="R959" s="76"/>
      <c r="S959" s="373"/>
    </row>
    <row r="960" spans="1:19" s="107" customFormat="1" ht="42.75" customHeight="1" outlineLevel="1" collapsed="1" x14ac:dyDescent="0.25">
      <c r="A960" s="168"/>
      <c r="B960" s="226" t="s">
        <v>11</v>
      </c>
      <c r="C960" s="75"/>
      <c r="D960" s="76"/>
      <c r="E960" s="76"/>
      <c r="F960" s="76"/>
      <c r="G960" s="76"/>
      <c r="H960" s="76"/>
      <c r="I960" s="161"/>
      <c r="J960" s="38" t="e">
        <f t="shared" si="1170"/>
        <v>#DIV/0!</v>
      </c>
      <c r="K960" s="37"/>
      <c r="L960" s="39" t="e">
        <f t="shared" si="1171"/>
        <v>#DIV/0!</v>
      </c>
      <c r="M960" s="39" t="e">
        <f t="shared" si="1131"/>
        <v>#DIV/0!</v>
      </c>
      <c r="N960" s="37"/>
      <c r="O960" s="37">
        <f t="shared" si="1169"/>
        <v>0</v>
      </c>
      <c r="P960" s="39" t="e">
        <f t="shared" si="1156"/>
        <v>#DIV/0!</v>
      </c>
      <c r="Q960" s="76"/>
      <c r="R960" s="76"/>
      <c r="S960" s="374"/>
    </row>
    <row r="961" spans="1:19" s="244" customFormat="1" ht="116.25" x14ac:dyDescent="0.25">
      <c r="A961" s="67" t="s">
        <v>191</v>
      </c>
      <c r="B961" s="227" t="s">
        <v>486</v>
      </c>
      <c r="C961" s="69" t="s">
        <v>17</v>
      </c>
      <c r="D961" s="70" t="e">
        <f>D962+D963+D964+D965+#REF!+D966</f>
        <v>#REF!</v>
      </c>
      <c r="E961" s="70" t="e">
        <f>E962+E963+E964+E965+#REF!+E966</f>
        <v>#REF!</v>
      </c>
      <c r="F961" s="70" t="e">
        <f>F962+F963+F964+F965+#REF!+F966</f>
        <v>#REF!</v>
      </c>
      <c r="G961" s="70">
        <f>SUM(G962:G966)</f>
        <v>40250.74</v>
      </c>
      <c r="H961" s="70">
        <f t="shared" ref="H961:I961" si="1172">SUM(H962:H966)</f>
        <v>72157.240000000005</v>
      </c>
      <c r="I961" s="70">
        <f t="shared" si="1172"/>
        <v>21513.03</v>
      </c>
      <c r="J961" s="72">
        <f>I961/H961</f>
        <v>0.3</v>
      </c>
      <c r="K961" s="70">
        <f t="shared" ref="K961" si="1173">SUM(K962:K966)</f>
        <v>21512.99</v>
      </c>
      <c r="L961" s="73">
        <f>K961/H961</f>
        <v>0.3</v>
      </c>
      <c r="M961" s="73">
        <f t="shared" si="1131"/>
        <v>1</v>
      </c>
      <c r="N961" s="70">
        <f t="shared" ref="N961:O961" si="1174">SUM(N962:N966)</f>
        <v>72157.240000000005</v>
      </c>
      <c r="O961" s="76">
        <f t="shared" si="1174"/>
        <v>0</v>
      </c>
      <c r="P961" s="73">
        <f t="shared" si="1156"/>
        <v>1</v>
      </c>
      <c r="Q961" s="70"/>
      <c r="R961" s="70"/>
      <c r="S961" s="372" t="s">
        <v>487</v>
      </c>
    </row>
    <row r="962" spans="1:19" s="107" customFormat="1" ht="33" customHeight="1" x14ac:dyDescent="0.25">
      <c r="A962" s="167"/>
      <c r="B962" s="226" t="s">
        <v>10</v>
      </c>
      <c r="C962" s="75"/>
      <c r="D962" s="76"/>
      <c r="E962" s="76"/>
      <c r="F962" s="76"/>
      <c r="G962" s="76"/>
      <c r="H962" s="76"/>
      <c r="I962" s="76"/>
      <c r="J962" s="38" t="e">
        <f t="shared" ref="J962" si="1175">I962/H962</f>
        <v>#DIV/0!</v>
      </c>
      <c r="K962" s="37"/>
      <c r="L962" s="39" t="e">
        <f t="shared" ref="L962" si="1176">K962/H962</f>
        <v>#DIV/0!</v>
      </c>
      <c r="M962" s="39" t="e">
        <f t="shared" si="1131"/>
        <v>#DIV/0!</v>
      </c>
      <c r="N962" s="37"/>
      <c r="O962" s="37"/>
      <c r="P962" s="39" t="e">
        <f t="shared" si="1156"/>
        <v>#DIV/0!</v>
      </c>
      <c r="Q962" s="76"/>
      <c r="R962" s="76"/>
      <c r="S962" s="373"/>
    </row>
    <row r="963" spans="1:19" s="107" customFormat="1" ht="33" customHeight="1" x14ac:dyDescent="0.25">
      <c r="A963" s="167"/>
      <c r="B963" s="226" t="s">
        <v>8</v>
      </c>
      <c r="C963" s="75"/>
      <c r="D963" s="76"/>
      <c r="E963" s="76"/>
      <c r="F963" s="76"/>
      <c r="G963" s="76">
        <v>38238.199999999997</v>
      </c>
      <c r="H963" s="76">
        <f>38238.2+8000.1+23906.4</f>
        <v>70144.7</v>
      </c>
      <c r="I963" s="76">
        <v>20261.7</v>
      </c>
      <c r="J963" s="77">
        <f>I963/H963</f>
        <v>0.28999999999999998</v>
      </c>
      <c r="K963" s="76">
        <v>20261.66</v>
      </c>
      <c r="L963" s="78">
        <f>K963/H963</f>
        <v>0.28999999999999998</v>
      </c>
      <c r="M963" s="78">
        <f t="shared" si="1131"/>
        <v>1</v>
      </c>
      <c r="N963" s="76">
        <f>H963</f>
        <v>70144.7</v>
      </c>
      <c r="O963" s="76"/>
      <c r="P963" s="78">
        <f>N963/H963</f>
        <v>1</v>
      </c>
      <c r="Q963" s="76"/>
      <c r="R963" s="76"/>
      <c r="S963" s="373"/>
    </row>
    <row r="964" spans="1:19" s="107" customFormat="1" ht="33" customHeight="1" x14ac:dyDescent="0.25">
      <c r="A964" s="167"/>
      <c r="B964" s="226" t="s">
        <v>19</v>
      </c>
      <c r="C964" s="75"/>
      <c r="D964" s="76"/>
      <c r="E964" s="76"/>
      <c r="F964" s="76"/>
      <c r="G964" s="76">
        <v>2012.54</v>
      </c>
      <c r="H964" s="76">
        <v>2012.54</v>
      </c>
      <c r="I964" s="76">
        <v>1251.33</v>
      </c>
      <c r="J964" s="77">
        <f t="shared" ref="J964:J966" si="1177">I964/H964</f>
        <v>0.62</v>
      </c>
      <c r="K964" s="76">
        <f>I964</f>
        <v>1251.33</v>
      </c>
      <c r="L964" s="78">
        <f t="shared" ref="L964:L966" si="1178">K964/H964</f>
        <v>0.62</v>
      </c>
      <c r="M964" s="78">
        <f t="shared" si="1131"/>
        <v>1</v>
      </c>
      <c r="N964" s="76">
        <f>H964</f>
        <v>2012.54</v>
      </c>
      <c r="O964" s="76"/>
      <c r="P964" s="78">
        <f>N964/H964</f>
        <v>1</v>
      </c>
      <c r="Q964" s="76"/>
      <c r="R964" s="76"/>
      <c r="S964" s="373"/>
    </row>
    <row r="965" spans="1:19" s="107" customFormat="1" ht="33" customHeight="1" x14ac:dyDescent="0.25">
      <c r="A965" s="167"/>
      <c r="B965" s="75" t="s">
        <v>22</v>
      </c>
      <c r="C965" s="75"/>
      <c r="D965" s="76"/>
      <c r="E965" s="76"/>
      <c r="F965" s="76"/>
      <c r="G965" s="76"/>
      <c r="H965" s="76"/>
      <c r="I965" s="76"/>
      <c r="J965" s="38" t="e">
        <f t="shared" si="1177"/>
        <v>#DIV/0!</v>
      </c>
      <c r="K965" s="37"/>
      <c r="L965" s="39" t="e">
        <f t="shared" si="1178"/>
        <v>#DIV/0!</v>
      </c>
      <c r="M965" s="39" t="e">
        <f t="shared" si="1131"/>
        <v>#DIV/0!</v>
      </c>
      <c r="N965" s="37"/>
      <c r="O965" s="37"/>
      <c r="P965" s="39" t="e">
        <f>N965/H965</f>
        <v>#DIV/0!</v>
      </c>
      <c r="Q965" s="76"/>
      <c r="R965" s="76"/>
      <c r="S965" s="373"/>
    </row>
    <row r="966" spans="1:19" s="107" customFormat="1" ht="264" customHeight="1" x14ac:dyDescent="0.25">
      <c r="A966" s="168"/>
      <c r="B966" s="226" t="s">
        <v>11</v>
      </c>
      <c r="C966" s="75"/>
      <c r="D966" s="76"/>
      <c r="E966" s="76"/>
      <c r="F966" s="76"/>
      <c r="G966" s="76"/>
      <c r="H966" s="76"/>
      <c r="I966" s="76"/>
      <c r="J966" s="38" t="e">
        <f t="shared" si="1177"/>
        <v>#DIV/0!</v>
      </c>
      <c r="K966" s="37"/>
      <c r="L966" s="39" t="e">
        <f t="shared" si="1178"/>
        <v>#DIV/0!</v>
      </c>
      <c r="M966" s="39" t="e">
        <f t="shared" si="1131"/>
        <v>#DIV/0!</v>
      </c>
      <c r="N966" s="37"/>
      <c r="O966" s="37"/>
      <c r="P966" s="39" t="e">
        <f>N966/H966</f>
        <v>#DIV/0!</v>
      </c>
      <c r="Q966" s="76"/>
      <c r="R966" s="76"/>
      <c r="S966" s="374"/>
    </row>
    <row r="967" spans="1:19" s="244" customFormat="1" ht="112.5" x14ac:dyDescent="0.25">
      <c r="A967" s="137" t="s">
        <v>80</v>
      </c>
      <c r="B967" s="138" t="s">
        <v>320</v>
      </c>
      <c r="C967" s="138" t="s">
        <v>9</v>
      </c>
      <c r="D967" s="139"/>
      <c r="E967" s="139"/>
      <c r="F967" s="139"/>
      <c r="G967" s="348"/>
      <c r="H967" s="348"/>
      <c r="I967" s="348"/>
      <c r="J967" s="350"/>
      <c r="K967" s="348"/>
      <c r="L967" s="351"/>
      <c r="M967" s="351"/>
      <c r="N967" s="351"/>
      <c r="O967" s="351"/>
      <c r="P967" s="351"/>
      <c r="Q967" s="126"/>
      <c r="R967" s="126"/>
      <c r="S967" s="375" t="s">
        <v>60</v>
      </c>
    </row>
    <row r="968" spans="1:19" s="150" customFormat="1" x14ac:dyDescent="0.25">
      <c r="A968" s="143"/>
      <c r="B968" s="144" t="s">
        <v>10</v>
      </c>
      <c r="C968" s="145"/>
      <c r="D968" s="139"/>
      <c r="E968" s="139"/>
      <c r="F968" s="139"/>
      <c r="G968" s="352"/>
      <c r="H968" s="352"/>
      <c r="I968" s="352"/>
      <c r="J968" s="356"/>
      <c r="K968" s="352"/>
      <c r="L968" s="357"/>
      <c r="M968" s="357"/>
      <c r="N968" s="357"/>
      <c r="O968" s="357"/>
      <c r="P968" s="357"/>
      <c r="Q968" s="149"/>
      <c r="R968" s="149"/>
      <c r="S968" s="376"/>
    </row>
    <row r="969" spans="1:19" s="150" customFormat="1" x14ac:dyDescent="0.25">
      <c r="A969" s="217"/>
      <c r="B969" s="177" t="s">
        <v>8</v>
      </c>
      <c r="C969" s="178"/>
      <c r="D969" s="259"/>
      <c r="E969" s="259"/>
      <c r="F969" s="259"/>
      <c r="G969" s="352"/>
      <c r="H969" s="352"/>
      <c r="I969" s="352"/>
      <c r="J969" s="356"/>
      <c r="K969" s="352"/>
      <c r="L969" s="357"/>
      <c r="M969" s="357"/>
      <c r="N969" s="357"/>
      <c r="O969" s="357"/>
      <c r="P969" s="357"/>
      <c r="Q969" s="149"/>
      <c r="R969" s="149"/>
      <c r="S969" s="376"/>
    </row>
    <row r="970" spans="1:19" s="150" customFormat="1" x14ac:dyDescent="0.25">
      <c r="A970" s="217"/>
      <c r="B970" s="144" t="s">
        <v>19</v>
      </c>
      <c r="C970" s="145"/>
      <c r="D970" s="139"/>
      <c r="E970" s="139"/>
      <c r="F970" s="139"/>
      <c r="G970" s="352"/>
      <c r="H970" s="352"/>
      <c r="I970" s="352"/>
      <c r="J970" s="353"/>
      <c r="K970" s="352"/>
      <c r="L970" s="357"/>
      <c r="M970" s="357"/>
      <c r="N970" s="357"/>
      <c r="O970" s="357"/>
      <c r="P970" s="357"/>
      <c r="Q970" s="149"/>
      <c r="R970" s="149"/>
      <c r="S970" s="376"/>
    </row>
    <row r="971" spans="1:19" s="150" customFormat="1" x14ac:dyDescent="0.25">
      <c r="A971" s="217"/>
      <c r="B971" s="144" t="s">
        <v>22</v>
      </c>
      <c r="C971" s="145"/>
      <c r="D971" s="146"/>
      <c r="E971" s="146"/>
      <c r="F971" s="146"/>
      <c r="G971" s="352"/>
      <c r="H971" s="352"/>
      <c r="I971" s="352"/>
      <c r="J971" s="356"/>
      <c r="K971" s="352"/>
      <c r="L971" s="357"/>
      <c r="M971" s="357"/>
      <c r="N971" s="357"/>
      <c r="O971" s="357"/>
      <c r="P971" s="357"/>
      <c r="Q971" s="149"/>
      <c r="R971" s="149"/>
      <c r="S971" s="376"/>
    </row>
    <row r="972" spans="1:19" s="150" customFormat="1" x14ac:dyDescent="0.25">
      <c r="A972" s="220"/>
      <c r="B972" s="144" t="s">
        <v>11</v>
      </c>
      <c r="C972" s="145"/>
      <c r="D972" s="146"/>
      <c r="E972" s="146"/>
      <c r="F972" s="146"/>
      <c r="G972" s="352"/>
      <c r="H972" s="352"/>
      <c r="I972" s="352"/>
      <c r="J972" s="353"/>
      <c r="K972" s="352"/>
      <c r="L972" s="357"/>
      <c r="M972" s="357"/>
      <c r="N972" s="357"/>
      <c r="O972" s="357"/>
      <c r="P972" s="357"/>
      <c r="Q972" s="84"/>
      <c r="R972" s="84"/>
      <c r="S972" s="377"/>
    </row>
    <row r="973" spans="1:19" s="209" customFormat="1" ht="112.5" x14ac:dyDescent="0.25">
      <c r="A973" s="137" t="s">
        <v>48</v>
      </c>
      <c r="B973" s="138" t="s">
        <v>321</v>
      </c>
      <c r="C973" s="138" t="s">
        <v>9</v>
      </c>
      <c r="D973" s="139"/>
      <c r="E973" s="139"/>
      <c r="F973" s="139"/>
      <c r="G973" s="348"/>
      <c r="H973" s="348"/>
      <c r="I973" s="348"/>
      <c r="J973" s="350"/>
      <c r="K973" s="348"/>
      <c r="L973" s="351"/>
      <c r="M973" s="351"/>
      <c r="N973" s="351"/>
      <c r="O973" s="351"/>
      <c r="P973" s="351"/>
      <c r="Q973" s="126"/>
      <c r="R973" s="126"/>
      <c r="S973" s="375" t="s">
        <v>60</v>
      </c>
    </row>
    <row r="974" spans="1:19" s="150" customFormat="1" x14ac:dyDescent="0.25">
      <c r="A974" s="143"/>
      <c r="B974" s="144" t="s">
        <v>10</v>
      </c>
      <c r="C974" s="145"/>
      <c r="D974" s="139"/>
      <c r="E974" s="139"/>
      <c r="F974" s="139"/>
      <c r="G974" s="352"/>
      <c r="H974" s="352"/>
      <c r="I974" s="352"/>
      <c r="J974" s="356"/>
      <c r="K974" s="352"/>
      <c r="L974" s="357"/>
      <c r="M974" s="357"/>
      <c r="N974" s="357"/>
      <c r="O974" s="357"/>
      <c r="P974" s="357"/>
      <c r="Q974" s="149"/>
      <c r="R974" s="149"/>
      <c r="S974" s="376"/>
    </row>
    <row r="975" spans="1:19" s="150" customFormat="1" x14ac:dyDescent="0.25">
      <c r="A975" s="217"/>
      <c r="B975" s="177" t="s">
        <v>8</v>
      </c>
      <c r="C975" s="178"/>
      <c r="D975" s="259"/>
      <c r="E975" s="259"/>
      <c r="F975" s="259"/>
      <c r="G975" s="352"/>
      <c r="H975" s="352"/>
      <c r="I975" s="352"/>
      <c r="J975" s="356"/>
      <c r="K975" s="352"/>
      <c r="L975" s="357"/>
      <c r="M975" s="357"/>
      <c r="N975" s="357"/>
      <c r="O975" s="357"/>
      <c r="P975" s="357"/>
      <c r="Q975" s="149"/>
      <c r="R975" s="149"/>
      <c r="S975" s="376"/>
    </row>
    <row r="976" spans="1:19" s="150" customFormat="1" x14ac:dyDescent="0.25">
      <c r="A976" s="217"/>
      <c r="B976" s="144" t="s">
        <v>19</v>
      </c>
      <c r="C976" s="145"/>
      <c r="D976" s="139"/>
      <c r="E976" s="139"/>
      <c r="F976" s="139"/>
      <c r="G976" s="352"/>
      <c r="H976" s="352"/>
      <c r="I976" s="352"/>
      <c r="J976" s="353"/>
      <c r="K976" s="352"/>
      <c r="L976" s="357"/>
      <c r="M976" s="357"/>
      <c r="N976" s="357"/>
      <c r="O976" s="357"/>
      <c r="P976" s="357"/>
      <c r="Q976" s="149"/>
      <c r="R976" s="149"/>
      <c r="S976" s="376"/>
    </row>
    <row r="977" spans="1:19" s="150" customFormat="1" x14ac:dyDescent="0.25">
      <c r="A977" s="217"/>
      <c r="B977" s="144" t="s">
        <v>22</v>
      </c>
      <c r="C977" s="145"/>
      <c r="D977" s="146"/>
      <c r="E977" s="146"/>
      <c r="F977" s="146"/>
      <c r="G977" s="352"/>
      <c r="H977" s="352"/>
      <c r="I977" s="352"/>
      <c r="J977" s="356"/>
      <c r="K977" s="352"/>
      <c r="L977" s="357"/>
      <c r="M977" s="357"/>
      <c r="N977" s="357"/>
      <c r="O977" s="357"/>
      <c r="P977" s="357"/>
      <c r="Q977" s="149"/>
      <c r="R977" s="149"/>
      <c r="S977" s="376"/>
    </row>
    <row r="978" spans="1:19" s="150" customFormat="1" x14ac:dyDescent="0.25">
      <c r="A978" s="220"/>
      <c r="B978" s="144" t="s">
        <v>11</v>
      </c>
      <c r="C978" s="145"/>
      <c r="D978" s="146"/>
      <c r="E978" s="146"/>
      <c r="F978" s="146"/>
      <c r="G978" s="352"/>
      <c r="H978" s="352"/>
      <c r="I978" s="352"/>
      <c r="J978" s="353"/>
      <c r="K978" s="352"/>
      <c r="L978" s="357"/>
      <c r="M978" s="357"/>
      <c r="N978" s="357"/>
      <c r="O978" s="357"/>
      <c r="P978" s="357"/>
      <c r="Q978" s="84"/>
      <c r="R978" s="84"/>
      <c r="S978" s="377"/>
    </row>
    <row r="979" spans="1:19" s="209" customFormat="1" ht="112.5" x14ac:dyDescent="0.25">
      <c r="A979" s="137" t="s">
        <v>325</v>
      </c>
      <c r="B979" s="138" t="s">
        <v>322</v>
      </c>
      <c r="C979" s="138" t="s">
        <v>9</v>
      </c>
      <c r="D979" s="139" t="e">
        <f>D981+D982+D983+#REF!+D984</f>
        <v>#REF!</v>
      </c>
      <c r="E979" s="139" t="e">
        <f>E981+E982+E983+#REF!+E984</f>
        <v>#REF!</v>
      </c>
      <c r="F979" s="139" t="e">
        <f>F981+F982+F983+#REF!+F984</f>
        <v>#REF!</v>
      </c>
      <c r="G979" s="348"/>
      <c r="H979" s="348"/>
      <c r="I979" s="349"/>
      <c r="J979" s="350"/>
      <c r="K979" s="348"/>
      <c r="L979" s="351"/>
      <c r="M979" s="351"/>
      <c r="N979" s="351"/>
      <c r="O979" s="351"/>
      <c r="P979" s="351"/>
      <c r="Q979" s="126"/>
      <c r="R979" s="126"/>
      <c r="S979" s="375" t="s">
        <v>60</v>
      </c>
    </row>
    <row r="980" spans="1:19" s="150" customFormat="1" x14ac:dyDescent="0.25">
      <c r="A980" s="210"/>
      <c r="B980" s="211" t="s">
        <v>10</v>
      </c>
      <c r="C980" s="145"/>
      <c r="D980" s="146"/>
      <c r="E980" s="146"/>
      <c r="F980" s="146"/>
      <c r="G980" s="352"/>
      <c r="H980" s="352"/>
      <c r="I980" s="352"/>
      <c r="J980" s="353"/>
      <c r="K980" s="352"/>
      <c r="L980" s="354"/>
      <c r="M980" s="354"/>
      <c r="N980" s="354"/>
      <c r="O980" s="354"/>
      <c r="P980" s="354"/>
      <c r="Q980" s="149"/>
      <c r="R980" s="149"/>
      <c r="S980" s="376"/>
    </row>
    <row r="981" spans="1:19" s="150" customFormat="1" x14ac:dyDescent="0.25">
      <c r="A981" s="210"/>
      <c r="B981" s="211" t="s">
        <v>8</v>
      </c>
      <c r="C981" s="145"/>
      <c r="D981" s="146" t="e">
        <f>D1684+#REF!</f>
        <v>#REF!</v>
      </c>
      <c r="E981" s="146" t="e">
        <f>E1684+#REF!</f>
        <v>#REF!</v>
      </c>
      <c r="F981" s="146" t="e">
        <f>F1684+#REF!</f>
        <v>#REF!</v>
      </c>
      <c r="G981" s="352"/>
      <c r="H981" s="352"/>
      <c r="I981" s="352"/>
      <c r="J981" s="353"/>
      <c r="K981" s="352"/>
      <c r="L981" s="354"/>
      <c r="M981" s="354"/>
      <c r="N981" s="354"/>
      <c r="O981" s="354"/>
      <c r="P981" s="354"/>
      <c r="Q981" s="149"/>
      <c r="R981" s="149"/>
      <c r="S981" s="376"/>
    </row>
    <row r="982" spans="1:19" s="150" customFormat="1" x14ac:dyDescent="0.25">
      <c r="A982" s="210"/>
      <c r="B982" s="211" t="s">
        <v>19</v>
      </c>
      <c r="C982" s="145"/>
      <c r="D982" s="146"/>
      <c r="E982" s="146"/>
      <c r="F982" s="146"/>
      <c r="G982" s="352"/>
      <c r="H982" s="352"/>
      <c r="I982" s="352"/>
      <c r="J982" s="353"/>
      <c r="K982" s="352"/>
      <c r="L982" s="354"/>
      <c r="M982" s="354"/>
      <c r="N982" s="354"/>
      <c r="O982" s="354"/>
      <c r="P982" s="354"/>
      <c r="Q982" s="149"/>
      <c r="R982" s="149"/>
      <c r="S982" s="376"/>
    </row>
    <row r="983" spans="1:19" s="150" customFormat="1" x14ac:dyDescent="0.25">
      <c r="A983" s="210"/>
      <c r="B983" s="145" t="s">
        <v>22</v>
      </c>
      <c r="C983" s="145"/>
      <c r="D983" s="146"/>
      <c r="E983" s="146"/>
      <c r="F983" s="146"/>
      <c r="G983" s="352"/>
      <c r="H983" s="352"/>
      <c r="I983" s="352"/>
      <c r="J983" s="353"/>
      <c r="K983" s="352"/>
      <c r="L983" s="354"/>
      <c r="M983" s="354"/>
      <c r="N983" s="354"/>
      <c r="O983" s="354"/>
      <c r="P983" s="354"/>
      <c r="Q983" s="149"/>
      <c r="R983" s="149"/>
      <c r="S983" s="376"/>
    </row>
    <row r="984" spans="1:19" s="150" customFormat="1" ht="45.75" customHeight="1" x14ac:dyDescent="0.25">
      <c r="A984" s="213"/>
      <c r="B984" s="211" t="s">
        <v>11</v>
      </c>
      <c r="C984" s="145"/>
      <c r="D984" s="146"/>
      <c r="E984" s="146"/>
      <c r="F984" s="146"/>
      <c r="G984" s="352"/>
      <c r="H984" s="352"/>
      <c r="I984" s="352"/>
      <c r="J984" s="353"/>
      <c r="K984" s="352"/>
      <c r="L984" s="354"/>
      <c r="M984" s="354"/>
      <c r="N984" s="354"/>
      <c r="O984" s="354"/>
      <c r="P984" s="354"/>
      <c r="Q984" s="84"/>
      <c r="R984" s="84"/>
      <c r="S984" s="377"/>
    </row>
    <row r="985" spans="1:19" ht="117.75" customHeight="1" x14ac:dyDescent="0.35">
      <c r="A985" s="137" t="s">
        <v>168</v>
      </c>
      <c r="B985" s="138" t="s">
        <v>323</v>
      </c>
      <c r="C985" s="138" t="s">
        <v>9</v>
      </c>
      <c r="D985" s="139" t="e">
        <f>D987+D988+D989+#REF!+D990</f>
        <v>#REF!</v>
      </c>
      <c r="E985" s="139" t="e">
        <f>E987+E988+E989+#REF!+E990</f>
        <v>#REF!</v>
      </c>
      <c r="F985" s="139" t="e">
        <f>F987+F988+F989+#REF!+F990</f>
        <v>#REF!</v>
      </c>
      <c r="G985" s="348"/>
      <c r="H985" s="348"/>
      <c r="I985" s="349"/>
      <c r="J985" s="350"/>
      <c r="K985" s="348"/>
      <c r="L985" s="351"/>
      <c r="M985" s="351"/>
      <c r="N985" s="351"/>
      <c r="O985" s="351"/>
      <c r="P985" s="351"/>
      <c r="Q985" s="126"/>
      <c r="R985" s="126"/>
      <c r="S985" s="375" t="s">
        <v>60</v>
      </c>
    </row>
    <row r="986" spans="1:19" x14ac:dyDescent="0.35">
      <c r="A986" s="210"/>
      <c r="B986" s="211" t="s">
        <v>10</v>
      </c>
      <c r="C986" s="145"/>
      <c r="D986" s="146"/>
      <c r="E986" s="146"/>
      <c r="F986" s="146"/>
      <c r="G986" s="352"/>
      <c r="H986" s="352"/>
      <c r="I986" s="352"/>
      <c r="J986" s="353"/>
      <c r="K986" s="352"/>
      <c r="L986" s="354"/>
      <c r="M986" s="354"/>
      <c r="N986" s="354"/>
      <c r="O986" s="354"/>
      <c r="P986" s="354"/>
      <c r="Q986" s="149"/>
      <c r="R986" s="149"/>
      <c r="S986" s="376"/>
    </row>
    <row r="987" spans="1:19" x14ac:dyDescent="0.35">
      <c r="A987" s="210"/>
      <c r="B987" s="211" t="s">
        <v>8</v>
      </c>
      <c r="C987" s="145"/>
      <c r="D987" s="146" t="e">
        <f>D1690+#REF!</f>
        <v>#REF!</v>
      </c>
      <c r="E987" s="146" t="e">
        <f>E1690+#REF!</f>
        <v>#REF!</v>
      </c>
      <c r="F987" s="146" t="e">
        <f>F1690+#REF!</f>
        <v>#REF!</v>
      </c>
      <c r="G987" s="352"/>
      <c r="H987" s="352"/>
      <c r="I987" s="352"/>
      <c r="J987" s="353"/>
      <c r="K987" s="352"/>
      <c r="L987" s="354"/>
      <c r="M987" s="354"/>
      <c r="N987" s="354"/>
      <c r="O987" s="354"/>
      <c r="P987" s="354"/>
      <c r="Q987" s="149"/>
      <c r="R987" s="149"/>
      <c r="S987" s="376"/>
    </row>
    <row r="988" spans="1:19" x14ac:dyDescent="0.35">
      <c r="A988" s="210"/>
      <c r="B988" s="211" t="s">
        <v>19</v>
      </c>
      <c r="C988" s="145"/>
      <c r="D988" s="146"/>
      <c r="E988" s="146"/>
      <c r="F988" s="146"/>
      <c r="G988" s="352"/>
      <c r="H988" s="352"/>
      <c r="I988" s="352"/>
      <c r="J988" s="353"/>
      <c r="K988" s="352"/>
      <c r="L988" s="354"/>
      <c r="M988" s="354"/>
      <c r="N988" s="354"/>
      <c r="O988" s="354"/>
      <c r="P988" s="354"/>
      <c r="Q988" s="149"/>
      <c r="R988" s="149"/>
      <c r="S988" s="376"/>
    </row>
    <row r="989" spans="1:19" x14ac:dyDescent="0.35">
      <c r="A989" s="210"/>
      <c r="B989" s="145" t="s">
        <v>22</v>
      </c>
      <c r="C989" s="145"/>
      <c r="D989" s="146"/>
      <c r="E989" s="146"/>
      <c r="F989" s="146"/>
      <c r="G989" s="352"/>
      <c r="H989" s="352"/>
      <c r="I989" s="352"/>
      <c r="J989" s="353"/>
      <c r="K989" s="352"/>
      <c r="L989" s="354"/>
      <c r="M989" s="354"/>
      <c r="N989" s="354"/>
      <c r="O989" s="354"/>
      <c r="P989" s="354"/>
      <c r="Q989" s="149"/>
      <c r="R989" s="149"/>
      <c r="S989" s="376"/>
    </row>
    <row r="990" spans="1:19" x14ac:dyDescent="0.35">
      <c r="A990" s="213"/>
      <c r="B990" s="211" t="s">
        <v>11</v>
      </c>
      <c r="C990" s="145"/>
      <c r="D990" s="146"/>
      <c r="E990" s="146"/>
      <c r="F990" s="146"/>
      <c r="G990" s="352"/>
      <c r="H990" s="352"/>
      <c r="I990" s="352"/>
      <c r="J990" s="353"/>
      <c r="K990" s="352"/>
      <c r="L990" s="354"/>
      <c r="M990" s="354"/>
      <c r="N990" s="354"/>
      <c r="O990" s="354"/>
      <c r="P990" s="354"/>
      <c r="Q990" s="84"/>
      <c r="R990" s="84"/>
      <c r="S990" s="377"/>
    </row>
    <row r="991" spans="1:19" ht="135" x14ac:dyDescent="0.35">
      <c r="A991" s="137" t="s">
        <v>169</v>
      </c>
      <c r="B991" s="138" t="s">
        <v>324</v>
      </c>
      <c r="C991" s="138" t="s">
        <v>9</v>
      </c>
      <c r="D991" s="139" t="e">
        <f>D993+D994+D995+#REF!+D996</f>
        <v>#REF!</v>
      </c>
      <c r="E991" s="139" t="e">
        <f>E993+E994+E995+#REF!+E996</f>
        <v>#REF!</v>
      </c>
      <c r="F991" s="139" t="e">
        <f>F993+F994+F995+#REF!+F996</f>
        <v>#REF!</v>
      </c>
      <c r="G991" s="348"/>
      <c r="H991" s="348"/>
      <c r="I991" s="349"/>
      <c r="J991" s="350"/>
      <c r="K991" s="348"/>
      <c r="L991" s="351"/>
      <c r="M991" s="351"/>
      <c r="N991" s="351"/>
      <c r="O991" s="351"/>
      <c r="P991" s="351"/>
      <c r="Q991" s="126"/>
      <c r="R991" s="126"/>
      <c r="S991" s="375" t="s">
        <v>60</v>
      </c>
    </row>
    <row r="992" spans="1:19" x14ac:dyDescent="0.35">
      <c r="A992" s="210"/>
      <c r="B992" s="211" t="s">
        <v>10</v>
      </c>
      <c r="C992" s="145"/>
      <c r="D992" s="146"/>
      <c r="E992" s="146"/>
      <c r="F992" s="146"/>
      <c r="G992" s="352"/>
      <c r="H992" s="352"/>
      <c r="I992" s="352"/>
      <c r="J992" s="353"/>
      <c r="K992" s="352"/>
      <c r="L992" s="354"/>
      <c r="M992" s="354"/>
      <c r="N992" s="354"/>
      <c r="O992" s="354"/>
      <c r="P992" s="354"/>
      <c r="Q992" s="149"/>
      <c r="R992" s="149"/>
      <c r="S992" s="376"/>
    </row>
    <row r="993" spans="1:19" x14ac:dyDescent="0.35">
      <c r="A993" s="210"/>
      <c r="B993" s="211" t="s">
        <v>8</v>
      </c>
      <c r="C993" s="145"/>
      <c r="D993" s="146" t="e">
        <f>D1696+#REF!</f>
        <v>#REF!</v>
      </c>
      <c r="E993" s="146" t="e">
        <f>E1696+#REF!</f>
        <v>#REF!</v>
      </c>
      <c r="F993" s="146" t="e">
        <f>F1696+#REF!</f>
        <v>#REF!</v>
      </c>
      <c r="G993" s="352"/>
      <c r="H993" s="352"/>
      <c r="I993" s="352"/>
      <c r="J993" s="353"/>
      <c r="K993" s="352"/>
      <c r="L993" s="354"/>
      <c r="M993" s="354"/>
      <c r="N993" s="354"/>
      <c r="O993" s="354"/>
      <c r="P993" s="354"/>
      <c r="Q993" s="149"/>
      <c r="R993" s="149"/>
      <c r="S993" s="376"/>
    </row>
    <row r="994" spans="1:19" x14ac:dyDescent="0.35">
      <c r="A994" s="210"/>
      <c r="B994" s="211" t="s">
        <v>19</v>
      </c>
      <c r="C994" s="145"/>
      <c r="D994" s="146"/>
      <c r="E994" s="146"/>
      <c r="F994" s="146"/>
      <c r="G994" s="352"/>
      <c r="H994" s="352"/>
      <c r="I994" s="352"/>
      <c r="J994" s="353"/>
      <c r="K994" s="352"/>
      <c r="L994" s="354"/>
      <c r="M994" s="354"/>
      <c r="N994" s="354"/>
      <c r="O994" s="354"/>
      <c r="P994" s="354"/>
      <c r="Q994" s="149"/>
      <c r="R994" s="149"/>
      <c r="S994" s="376"/>
    </row>
    <row r="995" spans="1:19" x14ac:dyDescent="0.35">
      <c r="A995" s="210"/>
      <c r="B995" s="145" t="s">
        <v>22</v>
      </c>
      <c r="C995" s="145"/>
      <c r="D995" s="146"/>
      <c r="E995" s="146"/>
      <c r="F995" s="146"/>
      <c r="G995" s="352"/>
      <c r="H995" s="352"/>
      <c r="I995" s="352"/>
      <c r="J995" s="353"/>
      <c r="K995" s="352"/>
      <c r="L995" s="354"/>
      <c r="M995" s="354"/>
      <c r="N995" s="354"/>
      <c r="O995" s="354"/>
      <c r="P995" s="354"/>
      <c r="Q995" s="149"/>
      <c r="R995" s="149"/>
      <c r="S995" s="376"/>
    </row>
    <row r="996" spans="1:19" x14ac:dyDescent="0.35">
      <c r="A996" s="213"/>
      <c r="B996" s="211" t="s">
        <v>11</v>
      </c>
      <c r="C996" s="145"/>
      <c r="D996" s="146"/>
      <c r="E996" s="146"/>
      <c r="F996" s="146"/>
      <c r="G996" s="352"/>
      <c r="H996" s="352"/>
      <c r="I996" s="352"/>
      <c r="J996" s="353"/>
      <c r="K996" s="352"/>
      <c r="L996" s="354"/>
      <c r="M996" s="354"/>
      <c r="N996" s="354"/>
      <c r="O996" s="354"/>
      <c r="P996" s="354"/>
      <c r="Q996" s="84"/>
      <c r="R996" s="84"/>
      <c r="S996" s="377"/>
    </row>
    <row r="997" spans="1:19" ht="112.5" x14ac:dyDescent="0.35">
      <c r="A997" s="337">
        <v>26</v>
      </c>
      <c r="B997" s="138" t="s">
        <v>477</v>
      </c>
      <c r="C997" s="138" t="s">
        <v>9</v>
      </c>
      <c r="D997" s="139" t="e">
        <f>D999+D1000+D1001+#REF!+D1002</f>
        <v>#REF!</v>
      </c>
      <c r="E997" s="139" t="e">
        <f>E999+E1000+E1001+#REF!+E1002</f>
        <v>#REF!</v>
      </c>
      <c r="F997" s="139" t="e">
        <f>F999+F1000+F1001+#REF!+F1002</f>
        <v>#REF!</v>
      </c>
      <c r="G997" s="139">
        <f>G998+G999+G1000+G1001+G1002</f>
        <v>0</v>
      </c>
      <c r="H997" s="139">
        <f>H998+H999+H1000+H1001+H1002</f>
        <v>722.8</v>
      </c>
      <c r="I997" s="139">
        <f>I998+I999+I1000+I1001+I1002</f>
        <v>0</v>
      </c>
      <c r="J997" s="140"/>
      <c r="K997" s="139">
        <f>K998+K999+K1000+K1001+K1002</f>
        <v>0</v>
      </c>
      <c r="L997" s="140"/>
      <c r="M997" s="338"/>
      <c r="N997" s="139">
        <f>N998+N999+N1000+N1001+N1002</f>
        <v>722.8</v>
      </c>
      <c r="O997" s="139">
        <f>O998+O999+O1000+O1001+O1002</f>
        <v>0</v>
      </c>
      <c r="P997" s="338">
        <f>N997/H997</f>
        <v>1</v>
      </c>
      <c r="Q997" s="339"/>
      <c r="R997" s="339"/>
      <c r="S997" s="340"/>
    </row>
    <row r="998" spans="1:19" x14ac:dyDescent="0.35">
      <c r="A998" s="337"/>
      <c r="B998" s="145" t="s">
        <v>10</v>
      </c>
      <c r="C998" s="145"/>
      <c r="D998" s="146"/>
      <c r="E998" s="146"/>
      <c r="F998" s="146"/>
      <c r="G998" s="146">
        <f t="shared" ref="G998:I1002" si="1179">G1004</f>
        <v>0</v>
      </c>
      <c r="H998" s="146">
        <f t="shared" si="1179"/>
        <v>722.8</v>
      </c>
      <c r="I998" s="146">
        <f t="shared" si="1179"/>
        <v>0</v>
      </c>
      <c r="J998" s="147"/>
      <c r="K998" s="146">
        <f>K1004</f>
        <v>0</v>
      </c>
      <c r="L998" s="147"/>
      <c r="M998" s="338"/>
      <c r="N998" s="341">
        <f>N1004</f>
        <v>722.8</v>
      </c>
      <c r="O998" s="147">
        <f>O1004</f>
        <v>0</v>
      </c>
      <c r="P998" s="338">
        <f>N998/H998</f>
        <v>1</v>
      </c>
      <c r="Q998" s="199"/>
      <c r="R998" s="199"/>
      <c r="S998" s="340"/>
    </row>
    <row r="999" spans="1:19" x14ac:dyDescent="0.35">
      <c r="A999" s="337"/>
      <c r="B999" s="145" t="s">
        <v>8</v>
      </c>
      <c r="C999" s="145"/>
      <c r="D999" s="146" t="e">
        <f>D1702+#REF!</f>
        <v>#REF!</v>
      </c>
      <c r="E999" s="146" t="e">
        <f>E1702+#REF!</f>
        <v>#REF!</v>
      </c>
      <c r="F999" s="146" t="e">
        <f>F1702+#REF!</f>
        <v>#REF!</v>
      </c>
      <c r="G999" s="146">
        <f t="shared" si="1179"/>
        <v>0</v>
      </c>
      <c r="H999" s="146">
        <f t="shared" si="1179"/>
        <v>0</v>
      </c>
      <c r="I999" s="146">
        <f t="shared" si="1179"/>
        <v>0</v>
      </c>
      <c r="J999" s="147"/>
      <c r="K999" s="146">
        <f>K1005</f>
        <v>0</v>
      </c>
      <c r="L999" s="147"/>
      <c r="M999" s="338"/>
      <c r="N999" s="341"/>
      <c r="O999" s="147">
        <f>O1005</f>
        <v>0</v>
      </c>
      <c r="P999" s="338"/>
      <c r="Q999" s="199"/>
      <c r="R999" s="199"/>
      <c r="S999" s="340"/>
    </row>
    <row r="1000" spans="1:19" x14ac:dyDescent="0.35">
      <c r="A1000" s="337"/>
      <c r="B1000" s="145" t="s">
        <v>19</v>
      </c>
      <c r="C1000" s="145"/>
      <c r="D1000" s="146"/>
      <c r="E1000" s="146"/>
      <c r="F1000" s="146"/>
      <c r="G1000" s="146">
        <f t="shared" si="1179"/>
        <v>0</v>
      </c>
      <c r="H1000" s="146">
        <f t="shared" si="1179"/>
        <v>0</v>
      </c>
      <c r="I1000" s="146">
        <f t="shared" si="1179"/>
        <v>0</v>
      </c>
      <c r="J1000" s="147"/>
      <c r="K1000" s="146">
        <f>K1006</f>
        <v>0</v>
      </c>
      <c r="L1000" s="147"/>
      <c r="M1000" s="338"/>
      <c r="N1000" s="341">
        <f>N1006</f>
        <v>0</v>
      </c>
      <c r="O1000" s="147">
        <f>O1006</f>
        <v>0</v>
      </c>
      <c r="P1000" s="147"/>
      <c r="Q1000" s="199"/>
      <c r="R1000" s="199"/>
      <c r="S1000" s="340"/>
    </row>
    <row r="1001" spans="1:19" x14ac:dyDescent="0.35">
      <c r="A1001" s="337"/>
      <c r="B1001" s="145" t="s">
        <v>22</v>
      </c>
      <c r="C1001" s="145"/>
      <c r="D1001" s="146"/>
      <c r="E1001" s="146"/>
      <c r="F1001" s="146"/>
      <c r="G1001" s="146">
        <f t="shared" si="1179"/>
        <v>0</v>
      </c>
      <c r="H1001" s="146">
        <f t="shared" si="1179"/>
        <v>0</v>
      </c>
      <c r="I1001" s="146">
        <f t="shared" si="1179"/>
        <v>0</v>
      </c>
      <c r="J1001" s="147"/>
      <c r="K1001" s="146">
        <f>K1007</f>
        <v>0</v>
      </c>
      <c r="L1001" s="147"/>
      <c r="M1001" s="338"/>
      <c r="N1001" s="341">
        <f>N1007</f>
        <v>0</v>
      </c>
      <c r="O1001" s="147">
        <f>O1007</f>
        <v>0</v>
      </c>
      <c r="P1001" s="147"/>
      <c r="Q1001" s="199"/>
      <c r="R1001" s="199"/>
      <c r="S1001" s="340"/>
    </row>
    <row r="1002" spans="1:19" x14ac:dyDescent="0.35">
      <c r="A1002" s="337"/>
      <c r="B1002" s="145" t="s">
        <v>11</v>
      </c>
      <c r="C1002" s="145"/>
      <c r="D1002" s="146"/>
      <c r="E1002" s="146"/>
      <c r="F1002" s="146"/>
      <c r="G1002" s="146">
        <f t="shared" si="1179"/>
        <v>0</v>
      </c>
      <c r="H1002" s="146">
        <f t="shared" si="1179"/>
        <v>0</v>
      </c>
      <c r="I1002" s="146">
        <f t="shared" si="1179"/>
        <v>0</v>
      </c>
      <c r="J1002" s="147"/>
      <c r="K1002" s="146">
        <f>K1008</f>
        <v>0</v>
      </c>
      <c r="L1002" s="147"/>
      <c r="M1002" s="338"/>
      <c r="N1002" s="341">
        <f>N1008</f>
        <v>0</v>
      </c>
      <c r="O1002" s="147">
        <f>O1008</f>
        <v>0</v>
      </c>
      <c r="P1002" s="147"/>
      <c r="Q1002" s="199"/>
      <c r="R1002" s="199"/>
      <c r="S1002" s="340"/>
    </row>
    <row r="1003" spans="1:19" s="318" customFormat="1" ht="46.5" x14ac:dyDescent="0.25">
      <c r="A1003" s="342" t="s">
        <v>510</v>
      </c>
      <c r="B1003" s="316" t="s">
        <v>478</v>
      </c>
      <c r="C1003" s="316" t="s">
        <v>17</v>
      </c>
      <c r="D1003" s="317" t="e">
        <f>D1004+D1005+D1006+D1007+#REF!+D1008</f>
        <v>#REF!</v>
      </c>
      <c r="E1003" s="317" t="e">
        <f>E1004+E1005+E1006+E1007+#REF!+E1008</f>
        <v>#REF!</v>
      </c>
      <c r="F1003" s="317" t="e">
        <f>F1004+F1005+F1006+F1007+#REF!+F1008</f>
        <v>#REF!</v>
      </c>
      <c r="G1003" s="283">
        <f>SUM(G1004:G1008)</f>
        <v>0</v>
      </c>
      <c r="H1003" s="283">
        <f>SUM(H1004:H1008)</f>
        <v>722.8</v>
      </c>
      <c r="I1003" s="283">
        <f>SUM(I1004:I1008)</f>
        <v>0</v>
      </c>
      <c r="J1003" s="345">
        <f>I1003/H1003</f>
        <v>0</v>
      </c>
      <c r="K1003" s="346">
        <f>SUM(K1004:K1008)</f>
        <v>0</v>
      </c>
      <c r="L1003" s="345">
        <f>K1003/H1003</f>
        <v>0</v>
      </c>
      <c r="M1003" s="333"/>
      <c r="N1003" s="283">
        <f>SUM(N1004:N1008)</f>
        <v>722.8</v>
      </c>
      <c r="O1003" s="276">
        <f>SUM(O1004:O1008)</f>
        <v>0</v>
      </c>
      <c r="P1003" s="284">
        <f>N1003/H1003</f>
        <v>1</v>
      </c>
      <c r="Q1003" s="317"/>
      <c r="R1003" s="317"/>
      <c r="S1003" s="343"/>
    </row>
    <row r="1004" spans="1:19" s="320" customFormat="1" x14ac:dyDescent="0.35">
      <c r="A1004" s="344"/>
      <c r="B1004" s="196" t="s">
        <v>10</v>
      </c>
      <c r="C1004" s="196"/>
      <c r="D1004" s="319"/>
      <c r="E1004" s="319"/>
      <c r="F1004" s="319"/>
      <c r="G1004" s="197">
        <v>0</v>
      </c>
      <c r="H1004" s="197">
        <v>722.8</v>
      </c>
      <c r="I1004" s="197"/>
      <c r="J1004" s="347">
        <f>I1004/H1004</f>
        <v>0</v>
      </c>
      <c r="K1004" s="86"/>
      <c r="L1004" s="347">
        <f>K1004/H1004</f>
        <v>0</v>
      </c>
      <c r="M1004" s="329"/>
      <c r="N1004" s="197">
        <f>H1004</f>
        <v>722.8</v>
      </c>
      <c r="O1004" s="197"/>
      <c r="P1004" s="273">
        <f>N1004/H1004</f>
        <v>1</v>
      </c>
      <c r="Q1004" s="319"/>
      <c r="R1004" s="319"/>
      <c r="S1004" s="196"/>
    </row>
    <row r="1005" spans="1:19" s="320" customFormat="1" x14ac:dyDescent="0.35">
      <c r="A1005" s="344"/>
      <c r="B1005" s="196" t="s">
        <v>8</v>
      </c>
      <c r="C1005" s="196"/>
      <c r="D1005" s="319"/>
      <c r="E1005" s="319"/>
      <c r="F1005" s="319"/>
      <c r="G1005" s="197"/>
      <c r="H1005" s="197"/>
      <c r="I1005" s="197"/>
      <c r="J1005" s="347"/>
      <c r="K1005" s="86"/>
      <c r="L1005" s="347"/>
      <c r="M1005" s="329"/>
      <c r="N1005" s="197"/>
      <c r="O1005" s="197"/>
      <c r="P1005" s="199"/>
      <c r="Q1005" s="319"/>
      <c r="R1005" s="319"/>
      <c r="S1005" s="196"/>
    </row>
    <row r="1006" spans="1:19" s="320" customFormat="1" x14ac:dyDescent="0.35">
      <c r="A1006" s="344"/>
      <c r="B1006" s="196" t="s">
        <v>19</v>
      </c>
      <c r="C1006" s="196"/>
      <c r="D1006" s="319"/>
      <c r="E1006" s="319"/>
      <c r="F1006" s="319"/>
      <c r="G1006" s="197"/>
      <c r="H1006" s="197"/>
      <c r="I1006" s="197"/>
      <c r="J1006" s="347"/>
      <c r="K1006" s="86"/>
      <c r="L1006" s="347"/>
      <c r="M1006" s="329"/>
      <c r="N1006" s="197"/>
      <c r="O1006" s="197"/>
      <c r="P1006" s="347"/>
      <c r="Q1006" s="319"/>
      <c r="R1006" s="319"/>
      <c r="S1006" s="196"/>
    </row>
    <row r="1007" spans="1:19" s="320" customFormat="1" x14ac:dyDescent="0.35">
      <c r="A1007" s="344"/>
      <c r="B1007" s="196" t="s">
        <v>22</v>
      </c>
      <c r="C1007" s="196"/>
      <c r="D1007" s="319"/>
      <c r="E1007" s="319"/>
      <c r="F1007" s="319"/>
      <c r="G1007" s="197"/>
      <c r="H1007" s="197"/>
      <c r="I1007" s="197"/>
      <c r="J1007" s="347" t="e">
        <f>I1007/H1007</f>
        <v>#DIV/0!</v>
      </c>
      <c r="K1007" s="86"/>
      <c r="L1007" s="347" t="e">
        <f>K1007/H1007</f>
        <v>#DIV/0!</v>
      </c>
      <c r="M1007" s="329"/>
      <c r="N1007" s="197"/>
      <c r="O1007" s="197"/>
      <c r="P1007" s="347" t="e">
        <f>N1007/H1007</f>
        <v>#DIV/0!</v>
      </c>
      <c r="Q1007" s="319"/>
      <c r="R1007" s="319"/>
      <c r="S1007" s="196"/>
    </row>
    <row r="1008" spans="1:19" s="320" customFormat="1" x14ac:dyDescent="0.35">
      <c r="A1008" s="344"/>
      <c r="B1008" s="196" t="s">
        <v>11</v>
      </c>
      <c r="C1008" s="196"/>
      <c r="D1008" s="319"/>
      <c r="E1008" s="319"/>
      <c r="F1008" s="319"/>
      <c r="G1008" s="197"/>
      <c r="H1008" s="197"/>
      <c r="I1008" s="197"/>
      <c r="J1008" s="347" t="e">
        <f>I1008/H1008</f>
        <v>#DIV/0!</v>
      </c>
      <c r="K1008" s="86"/>
      <c r="L1008" s="347" t="e">
        <f>K1008/H1008</f>
        <v>#DIV/0!</v>
      </c>
      <c r="M1008" s="347" t="e">
        <f>K1008/I1008</f>
        <v>#DIV/0!</v>
      </c>
      <c r="N1008" s="197"/>
      <c r="O1008" s="197"/>
      <c r="P1008" s="347" t="e">
        <f>N1008/H1008</f>
        <v>#DIV/0!</v>
      </c>
      <c r="Q1008" s="319"/>
      <c r="R1008" s="319"/>
      <c r="S1008" s="196"/>
    </row>
    <row r="1009" spans="14:19" x14ac:dyDescent="0.35">
      <c r="N1009" s="324"/>
      <c r="O1009" s="324"/>
      <c r="P1009" s="324"/>
      <c r="Q1009" s="324"/>
      <c r="R1009" s="324"/>
      <c r="S1009" s="99"/>
    </row>
    <row r="1216" spans="1:18" s="28" customFormat="1" x14ac:dyDescent="0.35">
      <c r="A1216" s="321"/>
      <c r="B1216" s="99"/>
      <c r="C1216" s="99"/>
      <c r="D1216" s="99"/>
      <c r="E1216" s="99"/>
      <c r="F1216" s="99"/>
      <c r="G1216" s="322"/>
      <c r="H1216" s="322"/>
      <c r="I1216" s="323"/>
      <c r="J1216" s="324"/>
      <c r="K1216" s="322"/>
      <c r="L1216" s="324"/>
      <c r="M1216" s="324"/>
      <c r="N1216" s="325"/>
      <c r="O1216" s="325"/>
      <c r="P1216" s="325"/>
      <c r="Q1216" s="325"/>
      <c r="R1216" s="325"/>
    </row>
    <row r="1217" spans="1:18" s="28" customFormat="1" x14ac:dyDescent="0.35">
      <c r="A1217" s="321"/>
      <c r="B1217" s="99"/>
      <c r="C1217" s="99"/>
      <c r="D1217" s="99"/>
      <c r="E1217" s="99"/>
      <c r="F1217" s="99"/>
      <c r="G1217" s="322"/>
      <c r="H1217" s="322"/>
      <c r="I1217" s="323"/>
      <c r="J1217" s="324"/>
      <c r="K1217" s="322"/>
      <c r="L1217" s="324"/>
      <c r="M1217" s="324"/>
      <c r="N1217" s="325"/>
      <c r="O1217" s="325"/>
      <c r="P1217" s="325"/>
      <c r="Q1217" s="325"/>
      <c r="R1217" s="325"/>
    </row>
    <row r="1218" spans="1:18" s="28" customFormat="1" x14ac:dyDescent="0.35">
      <c r="A1218" s="321"/>
      <c r="B1218" s="99"/>
      <c r="C1218" s="99"/>
      <c r="D1218" s="99"/>
      <c r="E1218" s="99"/>
      <c r="F1218" s="99"/>
      <c r="G1218" s="322"/>
      <c r="H1218" s="322"/>
      <c r="I1218" s="323"/>
      <c r="J1218" s="324"/>
      <c r="K1218" s="322"/>
      <c r="L1218" s="324"/>
      <c r="M1218" s="324"/>
      <c r="N1218" s="325"/>
      <c r="O1218" s="325"/>
      <c r="P1218" s="325"/>
      <c r="Q1218" s="325"/>
      <c r="R1218" s="325"/>
    </row>
    <row r="1228" spans="1:18" x14ac:dyDescent="0.35">
      <c r="A1228" s="326"/>
      <c r="B1228" s="28"/>
      <c r="C1228" s="28"/>
      <c r="D1228" s="28"/>
      <c r="E1228" s="28"/>
      <c r="F1228" s="28"/>
      <c r="G1228" s="185"/>
      <c r="H1228" s="185"/>
      <c r="I1228" s="327"/>
      <c r="J1228" s="325"/>
      <c r="K1228" s="185"/>
      <c r="L1228" s="325"/>
      <c r="M1228" s="325"/>
    </row>
    <row r="1229" spans="1:18" x14ac:dyDescent="0.35">
      <c r="A1229" s="326"/>
      <c r="B1229" s="28"/>
      <c r="C1229" s="28"/>
      <c r="D1229" s="28"/>
      <c r="E1229" s="28"/>
      <c r="F1229" s="28"/>
      <c r="G1229" s="185"/>
      <c r="H1229" s="185"/>
      <c r="I1229" s="327"/>
      <c r="J1229" s="325"/>
      <c r="K1229" s="185"/>
      <c r="L1229" s="325"/>
      <c r="M1229" s="325"/>
    </row>
    <row r="1230" spans="1:18" x14ac:dyDescent="0.35">
      <c r="A1230" s="326"/>
      <c r="B1230" s="28"/>
      <c r="C1230" s="28"/>
      <c r="D1230" s="28"/>
      <c r="E1230" s="28"/>
      <c r="F1230" s="28"/>
      <c r="G1230" s="185"/>
      <c r="H1230" s="185"/>
      <c r="I1230" s="327"/>
      <c r="J1230" s="325"/>
      <c r="K1230" s="185"/>
      <c r="L1230" s="325"/>
      <c r="M1230" s="325"/>
    </row>
  </sheetData>
  <autoFilter ref="A9:S1215"/>
  <customSheetViews>
    <customSheetView guid="{998B8119-4FF3-4A16-838D-539C6AE34D55}" scale="40" showPageBreaks="1" outlineSymbols="0" zeroValues="0" fitToPage="1" printArea="1" showAutoFilter="1" hiddenColumns="1" view="pageBreakPreview" topLeftCell="A4">
      <pane xSplit="2" ySplit="7" topLeftCell="K290" activePane="bottomRight" state="frozen"/>
      <selection pane="bottomRight" activeCell="S291" sqref="S291"/>
      <rowBreaks count="29" manualBreakCount="29">
        <brk id="174" max="18" man="1"/>
        <brk id="208" max="18" man="1"/>
        <brk id="1032" max="18" man="1"/>
        <brk id="1082" max="18" man="1"/>
        <brk id="1139" max="18" man="1"/>
        <brk id="1210" max="18"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9055118110236221" bottom="0" header="0" footer="0"/>
      <printOptions horizontalCentered="1"/>
      <pageSetup paperSize="8" scale="42" fitToHeight="0" orientation="landscape" r:id="rId1"/>
      <autoFilter ref="A9:S1215"/>
    </customSheetView>
    <customSheetView guid="{5FB953A5-71FF-4056-AF98-C9D06FF0EDF3}" scale="40" showPageBreaks="1" outlineSymbols="0" zeroValues="0" fitToPage="1" printArea="1" showAutoFilter="1" hiddenColumns="1" view="pageBreakPreview" topLeftCell="A4">
      <pane xSplit="2" ySplit="7" topLeftCell="C366" activePane="bottomRight" state="frozen"/>
      <selection pane="bottomRight" activeCell="B375" sqref="B375:B386"/>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2"/>
      <autoFilter ref="A9:S1209"/>
    </customSheetView>
    <customSheetView guid="{BEA0FDBA-BB07-4C19-8BBD-5E57EE395C09}" scale="40" showPageBreaks="1" outlineSymbols="0" zeroValues="0" fitToPage="1" printArea="1" showAutoFilter="1" hiddenColumns="1" view="pageBreakPreview" topLeftCell="A4">
      <pane xSplit="2" ySplit="7" topLeftCell="C11" activePane="bottomRight" state="frozen"/>
      <selection pane="bottomRight" activeCell="N13" sqref="N13"/>
      <rowBreaks count="29" manualBreakCount="29">
        <brk id="174" max="18" man="1"/>
        <brk id="208" max="18" man="1"/>
        <brk id="1025" max="18" man="1"/>
        <brk id="1075" max="18" man="1"/>
        <brk id="1132" max="18" man="1"/>
        <brk id="1203" max="18" man="1"/>
        <brk id="1258" max="14" man="1"/>
        <brk id="1273" max="10" man="1"/>
        <brk id="1309" max="10" man="1"/>
        <brk id="1349" max="10" man="1"/>
        <brk id="1388" max="10" man="1"/>
        <brk id="1426" max="10" man="1"/>
        <brk id="1462" max="10" man="1"/>
        <brk id="1499" max="10" man="1"/>
        <brk id="1537" max="10" man="1"/>
        <brk id="1572" max="10" man="1"/>
        <brk id="1608" max="10" man="1"/>
        <brk id="1648" max="10" man="1"/>
        <brk id="1687" max="10" man="1"/>
        <brk id="1726" max="10" man="1"/>
        <brk id="1766" max="10" man="1"/>
        <brk id="1804" max="10" man="1"/>
        <brk id="1839" max="10" man="1"/>
        <brk id="1869" max="10" man="1"/>
        <brk id="1906" max="10" man="1"/>
        <brk id="1943" max="10" man="1"/>
        <brk id="1978" max="10" man="1"/>
        <brk id="2020" max="10" man="1"/>
        <brk id="2074" max="10" man="1"/>
      </rowBreaks>
      <pageMargins left="0" right="0" top="0.9055118110236221" bottom="0" header="0" footer="0"/>
      <printOptions horizontalCentered="1"/>
      <pageSetup paperSize="9" scale="29" fitToHeight="0" orientation="landscape" r:id="rId3"/>
      <autoFilter ref="A9:S1209"/>
    </customSheetView>
    <customSheetView guid="{45DE1976-7F07-4EB4-8A9C-FB72D060BEFA}" scale="40" showPageBreaks="1" outlineSymbols="0" zeroValues="0" fitToPage="1" printArea="1" showAutoFilter="1" hiddenRows="1" hiddenColumns="1" view="pageBreakPreview" topLeftCell="A4">
      <pane xSplit="2" ySplit="7" topLeftCell="C804"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4"/>
      <autoFilter ref="A9:S1209"/>
    </customSheetView>
    <customSheetView guid="{7B245AB0-C2AF-4822-BFC4-2399F85856C1}" scale="40" showPageBreaks="1" outlineSymbols="0" zeroValues="0" fitToPage="1" printArea="1" showAutoFilter="1" hiddenColumns="1" view="pageBreakPreview" topLeftCell="A4">
      <pane xSplit="2" ySplit="7" topLeftCell="I916" activePane="bottomRight" state="frozen"/>
      <selection pane="bottomRight" activeCell="S919" sqref="S919:S924"/>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42" fitToHeight="0" orientation="landscape" r:id="rId5"/>
      <autoFilter ref="A9:S1203"/>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6"/>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7"/>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8"/>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9"/>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0"/>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3"/>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4"/>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5"/>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6"/>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7"/>
      <autoFilter ref="A9:S1185"/>
    </customSheetView>
    <customSheetView guid="{A0A3CD9B-2436-40D7-91DB-589A95FBBF00}" scale="40" showPageBreaks="1" outlineSymbols="0" zeroValues="0" fitToPage="1" printArea="1" showAutoFilter="1" hiddenRows="1" hiddenColumns="1" view="pageBreakPreview" topLeftCell="A4">
      <pane xSplit="2" ySplit="7" topLeftCell="C400" activePane="bottomRight" state="frozen"/>
      <selection pane="bottomRight" activeCell="I474" sqref="I474"/>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9" scale="29" fitToHeight="0" orientation="landscape" r:id="rId18"/>
      <autoFilter ref="A9:S1209"/>
    </customSheetView>
    <customSheetView guid="{539CB3DF-9B66-4BE7-9074-8CE0405EB8A6}" scale="40" showPageBreaks="1" outlineSymbols="0" zeroValues="0" fitToPage="1" printArea="1" showAutoFilter="1" hiddenColumns="1" view="pageBreakPreview" topLeftCell="A4">
      <pane xSplit="2" ySplit="7" topLeftCell="C478" activePane="bottomRight" state="frozen"/>
      <selection pane="bottomRight" activeCell="I528" sqref="I528"/>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2" fitToHeight="0" orientation="landscape" r:id="rId19"/>
      <autoFilter ref="A9:S1209"/>
    </customSheetView>
    <customSheetView guid="{67ADFAE6-A9AF-44D7-8539-93CD0F6B7849}" scale="40" showPageBreaks="1" outlineSymbols="0" zeroValues="0" fitToPage="1" printArea="1" showAutoFilter="1" hiddenRows="1" hiddenColumns="1" view="pageBreakPreview" topLeftCell="A4">
      <pane xSplit="2" ySplit="7" topLeftCell="C580" activePane="bottomRight" state="frozen"/>
      <selection pane="bottomRight" activeCell="H597" sqref="H597"/>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9" scale="29" fitToHeight="0" orientation="landscape" r:id="rId20"/>
      <autoFilter ref="A9:S1209"/>
    </customSheetView>
  </customSheetViews>
  <mergeCells count="287">
    <mergeCell ref="BK561:BK566"/>
    <mergeCell ref="BL561:BL566"/>
    <mergeCell ref="BM561:BM566"/>
    <mergeCell ref="BN561:BN566"/>
    <mergeCell ref="BO561:BO566"/>
    <mergeCell ref="BP561:BP566"/>
    <mergeCell ref="BG561:BG566"/>
    <mergeCell ref="BH561:BH566"/>
    <mergeCell ref="BI561:BI566"/>
    <mergeCell ref="BJ561:BJ566"/>
    <mergeCell ref="BQ561:BQ566"/>
    <mergeCell ref="BR561:BR566"/>
    <mergeCell ref="BS561:BS566"/>
    <mergeCell ref="CC561:CC566"/>
    <mergeCell ref="CD561:CD566"/>
    <mergeCell ref="CE561:CE566"/>
    <mergeCell ref="BT561:BT566"/>
    <mergeCell ref="BU561:BU566"/>
    <mergeCell ref="BV561:BV566"/>
    <mergeCell ref="BW561:BW566"/>
    <mergeCell ref="BX561:BX566"/>
    <mergeCell ref="BY561:BY566"/>
    <mergeCell ref="BZ561:BZ566"/>
    <mergeCell ref="CA561:CA566"/>
    <mergeCell ref="CB561:CB566"/>
    <mergeCell ref="AN561:AN566"/>
    <mergeCell ref="AN567:AN572"/>
    <mergeCell ref="AO567:AO572"/>
    <mergeCell ref="AP567:AP572"/>
    <mergeCell ref="AV567:AV572"/>
    <mergeCell ref="AW567:AW572"/>
    <mergeCell ref="AX567:AX572"/>
    <mergeCell ref="BF561:BF566"/>
    <mergeCell ref="S65:S70"/>
    <mergeCell ref="S149:S154"/>
    <mergeCell ref="S273:S278"/>
    <mergeCell ref="S197:S202"/>
    <mergeCell ref="S279:S284"/>
    <mergeCell ref="S267:S272"/>
    <mergeCell ref="S179:S184"/>
    <mergeCell ref="S203:S208"/>
    <mergeCell ref="S231:S236"/>
    <mergeCell ref="S543:S548"/>
    <mergeCell ref="S255:S260"/>
    <mergeCell ref="S303:S308"/>
    <mergeCell ref="S285:S290"/>
    <mergeCell ref="S113:S118"/>
    <mergeCell ref="S167:S172"/>
    <mergeCell ref="S519:S524"/>
    <mergeCell ref="AO561:AO566"/>
    <mergeCell ref="AP561:AP566"/>
    <mergeCell ref="AQ561:AQ566"/>
    <mergeCell ref="AR561:AR566"/>
    <mergeCell ref="BC561:BC566"/>
    <mergeCell ref="BD561:BD566"/>
    <mergeCell ref="BE561:BE566"/>
    <mergeCell ref="AZ561:AZ566"/>
    <mergeCell ref="BA561:BA566"/>
    <mergeCell ref="BB561:BB566"/>
    <mergeCell ref="AS561:AS566"/>
    <mergeCell ref="AT561:AT566"/>
    <mergeCell ref="AU561:AU566"/>
    <mergeCell ref="AV561:AV566"/>
    <mergeCell ref="AW561:AW566"/>
    <mergeCell ref="AX561:AX566"/>
    <mergeCell ref="AY561:AY566"/>
    <mergeCell ref="S249:S254"/>
    <mergeCell ref="S185:S190"/>
    <mergeCell ref="S225:S230"/>
    <mergeCell ref="S783:S788"/>
    <mergeCell ref="S173:S174"/>
    <mergeCell ref="S175:S176"/>
    <mergeCell ref="S567:S572"/>
    <mergeCell ref="S639:S644"/>
    <mergeCell ref="S967:S972"/>
    <mergeCell ref="S435:S440"/>
    <mergeCell ref="S771:S776"/>
    <mergeCell ref="S705:S710"/>
    <mergeCell ref="S477:S482"/>
    <mergeCell ref="S735:S739"/>
    <mergeCell ref="S937:S942"/>
    <mergeCell ref="S949:S954"/>
    <mergeCell ref="S819:S824"/>
    <mergeCell ref="S961:S966"/>
    <mergeCell ref="S825:S830"/>
    <mergeCell ref="S831:S836"/>
    <mergeCell ref="S837:S842"/>
    <mergeCell ref="S843:S848"/>
    <mergeCell ref="S849:S854"/>
    <mergeCell ref="S309:S313"/>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B7:B9"/>
    <mergeCell ref="S47:S52"/>
    <mergeCell ref="N7:N9"/>
    <mergeCell ref="O7:O9"/>
    <mergeCell ref="P7:P9"/>
    <mergeCell ref="A149:A154"/>
    <mergeCell ref="A213:A215"/>
    <mergeCell ref="S507:S512"/>
    <mergeCell ref="I7:M7"/>
    <mergeCell ref="S41:S46"/>
    <mergeCell ref="S23:S25"/>
    <mergeCell ref="S26:S28"/>
    <mergeCell ref="S36:S40"/>
    <mergeCell ref="S7:S9"/>
    <mergeCell ref="S29:S34"/>
    <mergeCell ref="E7:E9"/>
    <mergeCell ref="S83:S88"/>
    <mergeCell ref="S95:S100"/>
    <mergeCell ref="S101:S106"/>
    <mergeCell ref="S297:S302"/>
    <mergeCell ref="S177:S178"/>
    <mergeCell ref="A297:A302"/>
    <mergeCell ref="S119:S124"/>
    <mergeCell ref="S125:S130"/>
    <mergeCell ref="S89:S94"/>
    <mergeCell ref="S71:S76"/>
    <mergeCell ref="S77:S82"/>
    <mergeCell ref="S414:S415"/>
    <mergeCell ref="S107:S112"/>
    <mergeCell ref="S315:S320"/>
    <mergeCell ref="S321:S326"/>
    <mergeCell ref="S327:S332"/>
    <mergeCell ref="S369:S374"/>
    <mergeCell ref="S381:S386"/>
    <mergeCell ref="S459:S464"/>
    <mergeCell ref="S417:S422"/>
    <mergeCell ref="A411:A413"/>
    <mergeCell ref="S387:S392"/>
    <mergeCell ref="S453:S458"/>
    <mergeCell ref="S441:S446"/>
    <mergeCell ref="S412:S413"/>
    <mergeCell ref="S393:S398"/>
    <mergeCell ref="Z561:Z566"/>
    <mergeCell ref="AA561:AA566"/>
    <mergeCell ref="AB561:AB566"/>
    <mergeCell ref="A681:A686"/>
    <mergeCell ref="S501:S506"/>
    <mergeCell ref="S513:S518"/>
    <mergeCell ref="S621:S626"/>
    <mergeCell ref="S627:S632"/>
    <mergeCell ref="S669:S674"/>
    <mergeCell ref="S573:S578"/>
    <mergeCell ref="S579:S584"/>
    <mergeCell ref="S585:S590"/>
    <mergeCell ref="S609:S614"/>
    <mergeCell ref="S663:S668"/>
    <mergeCell ref="S633:S638"/>
    <mergeCell ref="S555:S560"/>
    <mergeCell ref="S561:S566"/>
    <mergeCell ref="W561:W566"/>
    <mergeCell ref="X561:X566"/>
    <mergeCell ref="Y561:Y566"/>
    <mergeCell ref="A813:A818"/>
    <mergeCell ref="A489:A494"/>
    <mergeCell ref="W567:W572"/>
    <mergeCell ref="X567:X572"/>
    <mergeCell ref="Y567:Y572"/>
    <mergeCell ref="Z567:Z572"/>
    <mergeCell ref="AA567:AA572"/>
    <mergeCell ref="AB567:AB572"/>
    <mergeCell ref="AC567:AC572"/>
    <mergeCell ref="S489:S494"/>
    <mergeCell ref="S717:S722"/>
    <mergeCell ref="S531:S536"/>
    <mergeCell ref="S807:S812"/>
    <mergeCell ref="S687:S692"/>
    <mergeCell ref="S693:S698"/>
    <mergeCell ref="S813:S818"/>
    <mergeCell ref="S747:S752"/>
    <mergeCell ref="S549:S554"/>
    <mergeCell ref="S591:S596"/>
    <mergeCell ref="AC561:AC566"/>
    <mergeCell ref="T567:T572"/>
    <mergeCell ref="U567:U572"/>
    <mergeCell ref="T561:T566"/>
    <mergeCell ref="U561:U566"/>
    <mergeCell ref="S991:S996"/>
    <mergeCell ref="S943:S948"/>
    <mergeCell ref="S955:S960"/>
    <mergeCell ref="S711:S716"/>
    <mergeCell ref="S973:S978"/>
    <mergeCell ref="S675:S680"/>
    <mergeCell ref="S855:S860"/>
    <mergeCell ref="S861:S866"/>
    <mergeCell ref="S867:S872"/>
    <mergeCell ref="S873:S878"/>
    <mergeCell ref="S879:S884"/>
    <mergeCell ref="S885:S890"/>
    <mergeCell ref="S891:S896"/>
    <mergeCell ref="S897:S902"/>
    <mergeCell ref="S795:S800"/>
    <mergeCell ref="S777:S782"/>
    <mergeCell ref="S903:S908"/>
    <mergeCell ref="S909:S914"/>
    <mergeCell ref="S915:S920"/>
    <mergeCell ref="S681:S686"/>
    <mergeCell ref="S931:S936"/>
    <mergeCell ref="S699:S704"/>
    <mergeCell ref="S723:S728"/>
    <mergeCell ref="S979:S984"/>
    <mergeCell ref="S985:S990"/>
    <mergeCell ref="S465:S470"/>
    <mergeCell ref="S471:S476"/>
    <mergeCell ref="S131:S136"/>
    <mergeCell ref="S423:S428"/>
    <mergeCell ref="S375:S380"/>
    <mergeCell ref="CC567:CC572"/>
    <mergeCell ref="CD567:CD572"/>
    <mergeCell ref="CA567:CA572"/>
    <mergeCell ref="CB567:CB572"/>
    <mergeCell ref="V567:V572"/>
    <mergeCell ref="AU567:AU572"/>
    <mergeCell ref="BG567:BG572"/>
    <mergeCell ref="BH567:BH572"/>
    <mergeCell ref="BI567:BI572"/>
    <mergeCell ref="AL567:AL572"/>
    <mergeCell ref="AR567:AR572"/>
    <mergeCell ref="AG567:AG572"/>
    <mergeCell ref="AH567:AH572"/>
    <mergeCell ref="AI567:AI572"/>
    <mergeCell ref="AJ567:AJ572"/>
    <mergeCell ref="AY567:AY572"/>
    <mergeCell ref="AZ567:AZ572"/>
    <mergeCell ref="S213:S215"/>
    <mergeCell ref="S216:S218"/>
    <mergeCell ref="AK561:AK566"/>
    <mergeCell ref="AL561:AL566"/>
    <mergeCell ref="BN567:BN572"/>
    <mergeCell ref="BO567:BO572"/>
    <mergeCell ref="BP567:BP572"/>
    <mergeCell ref="BY567:BY572"/>
    <mergeCell ref="BZ567:BZ572"/>
    <mergeCell ref="S161:S166"/>
    <mergeCell ref="S243:S248"/>
    <mergeCell ref="S429:S434"/>
    <mergeCell ref="S483:S488"/>
    <mergeCell ref="AM561:AM566"/>
    <mergeCell ref="AD567:AD572"/>
    <mergeCell ref="AE567:AE572"/>
    <mergeCell ref="AD561:AD566"/>
    <mergeCell ref="AE561:AE566"/>
    <mergeCell ref="AF561:AF566"/>
    <mergeCell ref="AG561:AG566"/>
    <mergeCell ref="AH561:AH566"/>
    <mergeCell ref="AI561:AI566"/>
    <mergeCell ref="AJ561:AJ566"/>
    <mergeCell ref="AF567:AF572"/>
    <mergeCell ref="V561:V566"/>
    <mergeCell ref="AK567:AK572"/>
    <mergeCell ref="AS567:AS572"/>
    <mergeCell ref="AT567:AT572"/>
    <mergeCell ref="AM567:AM572"/>
    <mergeCell ref="AQ567:AQ572"/>
    <mergeCell ref="CE567:CE572"/>
    <mergeCell ref="BA567:BA572"/>
    <mergeCell ref="BB567:BB572"/>
    <mergeCell ref="BC567:BC572"/>
    <mergeCell ref="BD567:BD572"/>
    <mergeCell ref="BE567:BE572"/>
    <mergeCell ref="BF567:BF572"/>
    <mergeCell ref="BT567:BT572"/>
    <mergeCell ref="BU567:BU572"/>
    <mergeCell ref="BV567:BV572"/>
    <mergeCell ref="BW567:BW572"/>
    <mergeCell ref="BX567:BX572"/>
    <mergeCell ref="BS567:BS572"/>
    <mergeCell ref="BQ567:BQ572"/>
    <mergeCell ref="BR567:BR572"/>
    <mergeCell ref="BJ567:BJ572"/>
    <mergeCell ref="BK567:BK572"/>
    <mergeCell ref="BL567:BL572"/>
    <mergeCell ref="BM567:BM572"/>
  </mergeCells>
  <phoneticPr fontId="4" type="noConversion"/>
  <printOptions horizontalCentered="1"/>
  <pageMargins left="0" right="0" top="0.9055118110236221" bottom="0" header="0" footer="0"/>
  <pageSetup paperSize="8" scale="42" fitToHeight="0" orientation="landscape" r:id="rId21"/>
  <rowBreaks count="27" manualBreakCount="27">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57" zoomScaleNormal="57" workbookViewId="0">
      <selection activeCell="M1" sqref="M1"/>
    </sheetView>
  </sheetViews>
  <sheetFormatPr defaultRowHeight="15.75" x14ac:dyDescent="0.25"/>
  <cols>
    <col min="1" max="1" width="4" customWidth="1"/>
    <col min="2" max="2" width="82.625" style="2" customWidth="1"/>
    <col min="3" max="3" width="21" style="24" customWidth="1"/>
    <col min="4" max="4" width="18.625" customWidth="1"/>
    <col min="5" max="6" width="17.75" customWidth="1"/>
    <col min="7" max="7" width="16.75" customWidth="1"/>
    <col min="8" max="8" width="17" customWidth="1"/>
    <col min="9" max="9" width="13" customWidth="1"/>
    <col min="10" max="10" width="14.875" customWidth="1"/>
    <col min="11" max="11" width="13.5" style="62" bestFit="1" customWidth="1"/>
    <col min="12" max="14" width="12.875" style="62" bestFit="1" customWidth="1"/>
  </cols>
  <sheetData>
    <row r="1" spans="1:14" ht="22.5" customHeight="1" x14ac:dyDescent="0.25">
      <c r="A1" s="430" t="s">
        <v>532</v>
      </c>
      <c r="B1" s="430"/>
      <c r="C1" s="430"/>
      <c r="D1" s="430"/>
      <c r="E1" s="430"/>
      <c r="F1" s="430"/>
      <c r="G1" s="430"/>
      <c r="H1" s="430"/>
      <c r="I1" s="430"/>
      <c r="J1" s="430"/>
    </row>
    <row r="2" spans="1:14" x14ac:dyDescent="0.25">
      <c r="J2" s="10" t="s">
        <v>104</v>
      </c>
    </row>
    <row r="3" spans="1:14" ht="72" customHeight="1" x14ac:dyDescent="0.25">
      <c r="A3" s="1" t="s">
        <v>6</v>
      </c>
      <c r="B3" s="1" t="s">
        <v>49</v>
      </c>
      <c r="C3" s="25" t="s">
        <v>100</v>
      </c>
      <c r="D3" s="1" t="s">
        <v>59</v>
      </c>
      <c r="E3" s="4" t="s">
        <v>197</v>
      </c>
      <c r="F3" s="5" t="s">
        <v>198</v>
      </c>
      <c r="G3" s="6" t="s">
        <v>111</v>
      </c>
      <c r="H3" s="5" t="s">
        <v>101</v>
      </c>
      <c r="I3" s="5" t="s">
        <v>102</v>
      </c>
      <c r="J3" s="7" t="s">
        <v>5</v>
      </c>
    </row>
    <row r="4" spans="1:14" s="16" customFormat="1" ht="48" customHeight="1" x14ac:dyDescent="0.3">
      <c r="A4" s="11">
        <v>1</v>
      </c>
      <c r="B4" s="12" t="s">
        <v>276</v>
      </c>
      <c r="C4" s="22" t="s">
        <v>56</v>
      </c>
      <c r="D4" s="27" t="s">
        <v>71</v>
      </c>
      <c r="E4" s="14">
        <f>'на 01.06.2016'!G17</f>
        <v>162038.70000000001</v>
      </c>
      <c r="F4" s="14">
        <f>'на 01.06.2016'!H17</f>
        <v>162038.70000000001</v>
      </c>
      <c r="G4" s="14">
        <f>'на 01.06.2016'!I17</f>
        <v>53252.6</v>
      </c>
      <c r="H4" s="14">
        <f>'на 01.06.2016'!K17</f>
        <v>53252.6</v>
      </c>
      <c r="I4" s="14">
        <f>G4-H4</f>
        <v>0</v>
      </c>
      <c r="J4" s="15">
        <f>H4/F4</f>
        <v>0.33</v>
      </c>
      <c r="K4" s="63" t="b">
        <f>E4='на 01.06.2016'!G17</f>
        <v>1</v>
      </c>
      <c r="L4" s="63" t="b">
        <f>F4='на 01.06.2016'!H17</f>
        <v>1</v>
      </c>
      <c r="M4" s="63" t="b">
        <f>G4='на 01.06.2016'!I17</f>
        <v>1</v>
      </c>
      <c r="N4" s="63" t="b">
        <f>H4='на 01.06.2016'!K17</f>
        <v>1</v>
      </c>
    </row>
    <row r="5" spans="1:14" s="16" customFormat="1" ht="45.75" customHeight="1" x14ac:dyDescent="0.3">
      <c r="A5" s="11">
        <v>2</v>
      </c>
      <c r="B5" s="12" t="s">
        <v>277</v>
      </c>
      <c r="C5" s="22" t="s">
        <v>55</v>
      </c>
      <c r="D5" s="17" t="s">
        <v>71</v>
      </c>
      <c r="E5" s="14">
        <f>'на 01.06.2016'!G35</f>
        <v>8362444.0300000003</v>
      </c>
      <c r="F5" s="14">
        <f>'на 01.06.2016'!H35</f>
        <v>8415065.1300000008</v>
      </c>
      <c r="G5" s="14">
        <f>'на 01.06.2016'!I35</f>
        <v>3222001.57</v>
      </c>
      <c r="H5" s="14">
        <f>'на 01.06.2016'!K35</f>
        <v>3149060.13</v>
      </c>
      <c r="I5" s="14">
        <f>G5-H5</f>
        <v>72941.440000000002</v>
      </c>
      <c r="J5" s="15">
        <f>H5/F5</f>
        <v>0.37</v>
      </c>
      <c r="K5" s="63" t="b">
        <f>E5='на 01.06.2016'!G35</f>
        <v>1</v>
      </c>
      <c r="L5" s="63" t="b">
        <f>F5='на 01.06.2016'!H35</f>
        <v>1</v>
      </c>
      <c r="M5" s="63" t="b">
        <f>G5='на 01.06.2016'!I35</f>
        <v>1</v>
      </c>
      <c r="N5" s="63" t="b">
        <f>H5='на 01.06.2016'!K35</f>
        <v>1</v>
      </c>
    </row>
    <row r="6" spans="1:14" s="16" customFormat="1" ht="45.75" customHeight="1" x14ac:dyDescent="0.3">
      <c r="A6" s="11">
        <v>3</v>
      </c>
      <c r="B6" s="12" t="s">
        <v>278</v>
      </c>
      <c r="C6" s="22" t="s">
        <v>56</v>
      </c>
      <c r="D6" s="17" t="s">
        <v>71</v>
      </c>
      <c r="E6" s="14">
        <f>'на 01.06.2016'!G149</f>
        <v>349410.84</v>
      </c>
      <c r="F6" s="14">
        <f>'на 01.06.2016'!H149</f>
        <v>356357.94</v>
      </c>
      <c r="G6" s="14">
        <f>'на 01.06.2016'!I149</f>
        <v>133276.93</v>
      </c>
      <c r="H6" s="14">
        <f>'на 01.06.2016'!K149</f>
        <v>92851.11</v>
      </c>
      <c r="I6" s="14">
        <f>G6-H6</f>
        <v>40425.82</v>
      </c>
      <c r="J6" s="15">
        <f>H6/F6</f>
        <v>0.26</v>
      </c>
      <c r="K6" s="63" t="b">
        <f>E6='на 01.06.2016'!G149</f>
        <v>1</v>
      </c>
      <c r="L6" s="63" t="b">
        <f>F6='на 01.06.2016'!H149</f>
        <v>1</v>
      </c>
      <c r="M6" s="63" t="b">
        <f>G6='на 01.06.2016'!I149</f>
        <v>1</v>
      </c>
      <c r="N6" s="63" t="b">
        <f>H6='на 01.06.2016'!K149</f>
        <v>1</v>
      </c>
    </row>
    <row r="7" spans="1:14" s="16" customFormat="1" ht="45.75" customHeight="1" x14ac:dyDescent="0.3">
      <c r="A7" s="11">
        <v>4</v>
      </c>
      <c r="B7" s="12" t="s">
        <v>279</v>
      </c>
      <c r="C7" s="22" t="s">
        <v>56</v>
      </c>
      <c r="D7" s="13" t="s">
        <v>72</v>
      </c>
      <c r="E7" s="432"/>
      <c r="F7" s="432"/>
      <c r="G7" s="432"/>
      <c r="H7" s="432"/>
      <c r="I7" s="432"/>
      <c r="J7" s="432"/>
      <c r="K7" s="63"/>
      <c r="L7" s="63"/>
      <c r="M7" s="63"/>
      <c r="N7" s="63"/>
    </row>
    <row r="8" spans="1:14" s="16" customFormat="1" ht="45.75" customHeight="1" x14ac:dyDescent="0.3">
      <c r="A8" s="11">
        <v>5</v>
      </c>
      <c r="B8" s="12" t="s">
        <v>280</v>
      </c>
      <c r="C8" s="22" t="s">
        <v>51</v>
      </c>
      <c r="D8" s="17" t="s">
        <v>71</v>
      </c>
      <c r="E8" s="14">
        <f>'на 01.06.2016'!G213</f>
        <v>174321.68</v>
      </c>
      <c r="F8" s="14">
        <f>'на 01.06.2016'!H213</f>
        <v>174321.68</v>
      </c>
      <c r="G8" s="14">
        <f>'на 01.06.2016'!I213</f>
        <v>66308.17</v>
      </c>
      <c r="H8" s="14">
        <f>'на 01.06.2016'!K213</f>
        <v>62157.61</v>
      </c>
      <c r="I8" s="14">
        <f>G8-H8</f>
        <v>4150.5600000000004</v>
      </c>
      <c r="J8" s="15">
        <f>H8/F8</f>
        <v>0.36</v>
      </c>
      <c r="K8" s="63" t="b">
        <f>E8='на 01.06.2016'!G213</f>
        <v>1</v>
      </c>
      <c r="L8" s="63" t="b">
        <f>F8='на 01.06.2016'!H213</f>
        <v>1</v>
      </c>
      <c r="M8" s="63" t="b">
        <f>G8='на 01.06.2016'!I213</f>
        <v>1</v>
      </c>
      <c r="N8" s="63" t="b">
        <f>H8='на 01.06.2016'!K213</f>
        <v>1</v>
      </c>
    </row>
    <row r="9" spans="1:14" s="16" customFormat="1" ht="45.75" customHeight="1" x14ac:dyDescent="0.3">
      <c r="A9" s="11">
        <v>6</v>
      </c>
      <c r="B9" s="12" t="s">
        <v>281</v>
      </c>
      <c r="C9" s="22" t="s">
        <v>51</v>
      </c>
      <c r="D9" s="17" t="s">
        <v>71</v>
      </c>
      <c r="E9" s="14">
        <f>'на 01.06.2016'!G267</f>
        <v>269426.59999999998</v>
      </c>
      <c r="F9" s="14">
        <f>'на 01.06.2016'!H267</f>
        <v>270079.09999999998</v>
      </c>
      <c r="G9" s="14">
        <f>'на 01.06.2016'!I267</f>
        <v>0</v>
      </c>
      <c r="H9" s="14">
        <f>'на 01.06.2016'!K267</f>
        <v>0</v>
      </c>
      <c r="I9" s="14">
        <f>G9-H9</f>
        <v>0</v>
      </c>
      <c r="J9" s="15">
        <f>H9/F9</f>
        <v>0</v>
      </c>
      <c r="K9" s="63" t="b">
        <f>E9='на 01.06.2016'!G267</f>
        <v>1</v>
      </c>
      <c r="L9" s="63" t="b">
        <f>F9='на 01.06.2016'!H267</f>
        <v>1</v>
      </c>
      <c r="M9" s="63" t="b">
        <f>G9='на 01.06.2016'!I267</f>
        <v>1</v>
      </c>
      <c r="N9" s="63" t="b">
        <f>H9='на 01.06.2016'!K267</f>
        <v>1</v>
      </c>
    </row>
    <row r="10" spans="1:14" s="16" customFormat="1" ht="45.75" customHeight="1" x14ac:dyDescent="0.3">
      <c r="A10" s="11">
        <v>7</v>
      </c>
      <c r="B10" s="12" t="s">
        <v>282</v>
      </c>
      <c r="C10" s="22" t="s">
        <v>50</v>
      </c>
      <c r="D10" s="13" t="s">
        <v>71</v>
      </c>
      <c r="E10" s="14">
        <f>'на 01.06.2016'!G297</f>
        <v>8659.2999999999993</v>
      </c>
      <c r="F10" s="14">
        <f>'на 01.06.2016'!H297</f>
        <v>8804.68</v>
      </c>
      <c r="G10" s="13">
        <f>'на 01.06.2016'!I297</f>
        <v>3845.38</v>
      </c>
      <c r="H10" s="14">
        <f>'на 01.06.2016'!K297</f>
        <v>3126.85</v>
      </c>
      <c r="I10" s="14">
        <f>G10-H10</f>
        <v>718.53</v>
      </c>
      <c r="J10" s="15">
        <f>H10/F10</f>
        <v>0.36</v>
      </c>
      <c r="K10" s="63" t="b">
        <f>E10='на 01.06.2016'!G297</f>
        <v>1</v>
      </c>
      <c r="L10" s="63" t="b">
        <f>F10='на 01.06.2016'!H297</f>
        <v>1</v>
      </c>
      <c r="M10" s="63" t="b">
        <f>G10='на 01.06.2016'!I297</f>
        <v>1</v>
      </c>
      <c r="N10" s="63" t="b">
        <f>H10='на 01.06.2016'!K297</f>
        <v>1</v>
      </c>
    </row>
    <row r="11" spans="1:14" s="16" customFormat="1" ht="60.75" x14ac:dyDescent="0.3">
      <c r="A11" s="11">
        <v>8</v>
      </c>
      <c r="B11" s="12" t="s">
        <v>283</v>
      </c>
      <c r="C11" s="22" t="s">
        <v>284</v>
      </c>
      <c r="D11" s="13" t="s">
        <v>71</v>
      </c>
      <c r="E11" s="14">
        <f>'на 01.06.2016'!G375</f>
        <v>14031.36</v>
      </c>
      <c r="F11" s="14">
        <f>'на 01.06.2016'!H375</f>
        <v>14031.36</v>
      </c>
      <c r="G11" s="14">
        <f>'на 01.06.2016'!I375</f>
        <v>3134.68</v>
      </c>
      <c r="H11" s="14">
        <f>'на 01.06.2016'!K375</f>
        <v>3105.38</v>
      </c>
      <c r="I11" s="14">
        <f>G11-H11</f>
        <v>29.3</v>
      </c>
      <c r="J11" s="15">
        <f>H11/F11</f>
        <v>0.22</v>
      </c>
      <c r="K11" s="63" t="b">
        <f>E11='на 01.06.2016'!G375</f>
        <v>1</v>
      </c>
      <c r="L11" s="63" t="b">
        <f>F11='на 01.06.2016'!H375</f>
        <v>1</v>
      </c>
      <c r="M11" s="63" t="b">
        <f>G11='на 01.06.2016'!I375</f>
        <v>1</v>
      </c>
      <c r="N11" s="63" t="b">
        <f>H11='на 01.06.2016'!K375</f>
        <v>1</v>
      </c>
    </row>
    <row r="12" spans="1:14" s="16" customFormat="1" ht="40.5" x14ac:dyDescent="0.3">
      <c r="A12" s="11">
        <v>9</v>
      </c>
      <c r="B12" s="12" t="s">
        <v>285</v>
      </c>
      <c r="C12" s="22"/>
      <c r="D12" s="13" t="s">
        <v>72</v>
      </c>
      <c r="E12" s="432"/>
      <c r="F12" s="432"/>
      <c r="G12" s="432"/>
      <c r="H12" s="432"/>
      <c r="I12" s="432"/>
      <c r="J12" s="432"/>
      <c r="K12" s="63"/>
      <c r="L12" s="63"/>
      <c r="M12" s="63"/>
      <c r="N12" s="63"/>
    </row>
    <row r="13" spans="1:14" s="16" customFormat="1" ht="60.75" x14ac:dyDescent="0.3">
      <c r="A13" s="11">
        <v>10</v>
      </c>
      <c r="B13" s="12" t="s">
        <v>286</v>
      </c>
      <c r="C13" s="22"/>
      <c r="D13" s="23" t="s">
        <v>72</v>
      </c>
      <c r="E13" s="432"/>
      <c r="F13" s="432"/>
      <c r="G13" s="432"/>
      <c r="H13" s="432"/>
      <c r="I13" s="432"/>
      <c r="J13" s="432"/>
      <c r="K13" s="63"/>
      <c r="L13" s="63"/>
      <c r="M13" s="63"/>
      <c r="N13" s="63"/>
    </row>
    <row r="14" spans="1:14" s="16" customFormat="1" ht="40.5" x14ac:dyDescent="0.3">
      <c r="A14" s="18">
        <v>11</v>
      </c>
      <c r="B14" s="19" t="s">
        <v>287</v>
      </c>
      <c r="C14" s="22" t="s">
        <v>58</v>
      </c>
      <c r="D14" s="13" t="s">
        <v>71</v>
      </c>
      <c r="E14" s="14">
        <f>'на 01.06.2016'!G411</f>
        <v>1343098.33</v>
      </c>
      <c r="F14" s="14">
        <f>'на 01.06.2016'!H411</f>
        <v>1611089</v>
      </c>
      <c r="G14" s="14">
        <f>'на 01.06.2016'!I411</f>
        <v>992972.7</v>
      </c>
      <c r="H14" s="14">
        <f>'на 01.06.2016'!K411</f>
        <v>979404.65</v>
      </c>
      <c r="I14" s="14">
        <f>G14-H14</f>
        <v>13568.05</v>
      </c>
      <c r="J14" s="15">
        <f>H14/F14</f>
        <v>0.61</v>
      </c>
      <c r="K14" s="63" t="b">
        <f>E14='на 01.06.2016'!G411</f>
        <v>1</v>
      </c>
      <c r="L14" s="63" t="b">
        <f>F14='на 01.06.2016'!H411</f>
        <v>1</v>
      </c>
      <c r="M14" s="63" t="b">
        <f>G14='на 01.06.2016'!I411</f>
        <v>1</v>
      </c>
      <c r="N14" s="63" t="b">
        <f>H14='на 01.06.2016'!K411</f>
        <v>1</v>
      </c>
    </row>
    <row r="15" spans="1:14" s="16" customFormat="1" ht="60.75" x14ac:dyDescent="0.3">
      <c r="A15" s="11">
        <v>12</v>
      </c>
      <c r="B15" s="12" t="s">
        <v>288</v>
      </c>
      <c r="C15" s="22" t="s">
        <v>54</v>
      </c>
      <c r="D15" s="13" t="s">
        <v>71</v>
      </c>
      <c r="E15" s="14">
        <f>'на 01.06.2016'!G489</f>
        <v>151879.5</v>
      </c>
      <c r="F15" s="14">
        <f>'на 01.06.2016'!H489</f>
        <v>175491.1</v>
      </c>
      <c r="G15" s="14">
        <f>'на 01.06.2016'!I489</f>
        <v>35839.269999999997</v>
      </c>
      <c r="H15" s="14">
        <f>'на 01.06.2016'!K489</f>
        <v>28925.040000000001</v>
      </c>
      <c r="I15" s="14">
        <f>G15-H15</f>
        <v>6914.23</v>
      </c>
      <c r="J15" s="15">
        <f>H15/F15</f>
        <v>0.16</v>
      </c>
      <c r="K15" s="63" t="b">
        <f>E15='на 01.06.2016'!G489</f>
        <v>1</v>
      </c>
      <c r="L15" s="63" t="b">
        <f>F15='на 01.06.2016'!H489</f>
        <v>1</v>
      </c>
      <c r="M15" s="63" t="b">
        <f>G15='на 01.06.2016'!I489</f>
        <v>1</v>
      </c>
      <c r="N15" s="63" t="b">
        <f>H15='на 01.06.2016'!K489</f>
        <v>1</v>
      </c>
    </row>
    <row r="16" spans="1:14" s="16" customFormat="1" ht="128.25" customHeight="1" x14ac:dyDescent="0.3">
      <c r="A16" s="11">
        <v>13</v>
      </c>
      <c r="B16" s="12" t="s">
        <v>290</v>
      </c>
      <c r="C16" s="22" t="s">
        <v>289</v>
      </c>
      <c r="D16" s="13" t="s">
        <v>71</v>
      </c>
      <c r="E16" s="14">
        <f>'на 01.06.2016'!G609</f>
        <v>54249.26</v>
      </c>
      <c r="F16" s="14">
        <f>'на 01.06.2016'!H609</f>
        <v>55963.66</v>
      </c>
      <c r="G16" s="14">
        <f>'на 01.06.2016'!I609</f>
        <v>31075.34</v>
      </c>
      <c r="H16" s="14">
        <f>'на 01.06.2016'!K609</f>
        <v>25135.32</v>
      </c>
      <c r="I16" s="14">
        <f t="shared" ref="I16" si="0">G16-H16</f>
        <v>5940.02</v>
      </c>
      <c r="J16" s="15">
        <f>H16/F16</f>
        <v>0.45</v>
      </c>
      <c r="K16" s="63" t="b">
        <f>E16='на 01.06.2016'!G609</f>
        <v>1</v>
      </c>
      <c r="L16" s="63" t="b">
        <f>F16='на 01.06.2016'!H609</f>
        <v>1</v>
      </c>
      <c r="M16" s="63" t="b">
        <f>G16='на 01.06.2016'!I609</f>
        <v>1</v>
      </c>
      <c r="N16" s="63" t="b">
        <f>H16='на 01.06.2016'!K609</f>
        <v>1</v>
      </c>
    </row>
    <row r="17" spans="1:14" s="16" customFormat="1" ht="60.75" x14ac:dyDescent="0.3">
      <c r="A17" s="11">
        <v>14</v>
      </c>
      <c r="B17" s="12" t="s">
        <v>291</v>
      </c>
      <c r="C17" s="22" t="s">
        <v>53</v>
      </c>
      <c r="D17" s="26" t="s">
        <v>72</v>
      </c>
      <c r="E17" s="434"/>
      <c r="F17" s="435"/>
      <c r="G17" s="435"/>
      <c r="H17" s="435"/>
      <c r="I17" s="435"/>
      <c r="J17" s="436"/>
      <c r="K17" s="63" t="b">
        <f>E17='на 01.06.2016'!G669</f>
        <v>1</v>
      </c>
      <c r="L17" s="63" t="b">
        <f>F17='на 01.06.2016'!H669</f>
        <v>1</v>
      </c>
      <c r="M17" s="63" t="b">
        <f>G17='на 01.06.2016'!I669</f>
        <v>1</v>
      </c>
      <c r="N17" s="63" t="b">
        <f>H17='на 01.06.2016'!K669</f>
        <v>1</v>
      </c>
    </row>
    <row r="18" spans="1:14" s="16" customFormat="1" ht="40.5" x14ac:dyDescent="0.3">
      <c r="A18" s="11">
        <v>15</v>
      </c>
      <c r="B18" s="12" t="s">
        <v>292</v>
      </c>
      <c r="C18" s="22" t="s">
        <v>57</v>
      </c>
      <c r="D18" s="23" t="s">
        <v>72</v>
      </c>
      <c r="E18" s="432"/>
      <c r="F18" s="432"/>
      <c r="G18" s="432"/>
      <c r="H18" s="432"/>
      <c r="I18" s="432"/>
      <c r="J18" s="432"/>
      <c r="K18" s="63"/>
      <c r="L18" s="63"/>
      <c r="M18" s="63"/>
      <c r="N18" s="63"/>
    </row>
    <row r="19" spans="1:14" s="16" customFormat="1" ht="60.75" x14ac:dyDescent="0.3">
      <c r="A19" s="11">
        <v>16</v>
      </c>
      <c r="B19" s="12" t="s">
        <v>293</v>
      </c>
      <c r="C19" s="22" t="s">
        <v>50</v>
      </c>
      <c r="D19" s="13" t="s">
        <v>71</v>
      </c>
      <c r="E19" s="14">
        <f>'на 01.06.2016'!G681</f>
        <v>142887.04999999999</v>
      </c>
      <c r="F19" s="14">
        <f>'на 01.06.2016'!H681</f>
        <v>142887.04999999999</v>
      </c>
      <c r="G19" s="14">
        <f>'на 01.06.2016'!I681</f>
        <v>99878.15</v>
      </c>
      <c r="H19" s="14">
        <f>'на 01.06.2016'!K681</f>
        <v>45916.56</v>
      </c>
      <c r="I19" s="14">
        <f>G19-H19</f>
        <v>53961.59</v>
      </c>
      <c r="J19" s="15">
        <f>H19/F19</f>
        <v>0.32</v>
      </c>
      <c r="K19" s="63" t="b">
        <f>E19='на 01.06.2016'!G681</f>
        <v>1</v>
      </c>
      <c r="L19" s="63" t="b">
        <f>F19='на 01.06.2016'!H681</f>
        <v>1</v>
      </c>
      <c r="M19" s="63" t="b">
        <f>G19='на 01.06.2016'!I681</f>
        <v>1</v>
      </c>
      <c r="N19" s="63" t="b">
        <f>H19='на 01.06.2016'!K681</f>
        <v>1</v>
      </c>
    </row>
    <row r="20" spans="1:14" s="16" customFormat="1" ht="40.5" x14ac:dyDescent="0.3">
      <c r="A20" s="11">
        <v>17</v>
      </c>
      <c r="B20" s="12" t="s">
        <v>294</v>
      </c>
      <c r="C20" s="22"/>
      <c r="D20" s="13" t="s">
        <v>72</v>
      </c>
      <c r="E20" s="432"/>
      <c r="F20" s="432"/>
      <c r="G20" s="432"/>
      <c r="H20" s="432"/>
      <c r="I20" s="432"/>
      <c r="J20" s="432"/>
      <c r="K20" s="63"/>
      <c r="L20" s="63"/>
      <c r="M20" s="63"/>
      <c r="N20" s="63"/>
    </row>
    <row r="21" spans="1:14" s="16" customFormat="1" ht="40.5" x14ac:dyDescent="0.3">
      <c r="A21" s="11">
        <v>18</v>
      </c>
      <c r="B21" s="12" t="s">
        <v>295</v>
      </c>
      <c r="C21" s="22" t="s">
        <v>58</v>
      </c>
      <c r="D21" s="17" t="s">
        <v>71</v>
      </c>
      <c r="E21" s="14">
        <f>'на 01.06.2016'!G795</f>
        <v>540732.19999999995</v>
      </c>
      <c r="F21" s="14">
        <f>'на 01.06.2016'!H795</f>
        <v>617623.30000000005</v>
      </c>
      <c r="G21" s="14">
        <f>'на 01.06.2016'!I795</f>
        <v>17953.02</v>
      </c>
      <c r="H21" s="14">
        <f>'на 01.06.2016'!K795</f>
        <v>17953.02</v>
      </c>
      <c r="I21" s="14">
        <f>G21-H21</f>
        <v>0</v>
      </c>
      <c r="J21" s="15">
        <f>H21/F21</f>
        <v>0.03</v>
      </c>
      <c r="K21" s="63" t="b">
        <f>E21='на 01.06.2016'!G795</f>
        <v>1</v>
      </c>
      <c r="L21" s="63" t="b">
        <f>F21='на 01.06.2016'!H795</f>
        <v>1</v>
      </c>
      <c r="M21" s="63" t="b">
        <f>G21='на 01.06.2016'!I795</f>
        <v>1</v>
      </c>
      <c r="N21" s="63" t="b">
        <f>H21='на 01.06.2016'!K795</f>
        <v>1</v>
      </c>
    </row>
    <row r="22" spans="1:14" s="16" customFormat="1" ht="40.5" x14ac:dyDescent="0.3">
      <c r="A22" s="11">
        <v>19</v>
      </c>
      <c r="B22" s="12" t="s">
        <v>296</v>
      </c>
      <c r="C22" s="22"/>
      <c r="D22" s="13" t="s">
        <v>72</v>
      </c>
      <c r="E22" s="432"/>
      <c r="F22" s="432"/>
      <c r="G22" s="432"/>
      <c r="H22" s="432"/>
      <c r="I22" s="432"/>
      <c r="J22" s="432"/>
      <c r="K22" s="63"/>
      <c r="L22" s="63"/>
      <c r="M22" s="63"/>
      <c r="N22" s="63"/>
    </row>
    <row r="23" spans="1:14" s="16" customFormat="1" ht="81" x14ac:dyDescent="0.3">
      <c r="A23" s="11">
        <v>20</v>
      </c>
      <c r="B23" s="12" t="s">
        <v>297</v>
      </c>
      <c r="C23" s="22" t="s">
        <v>204</v>
      </c>
      <c r="D23" s="17" t="s">
        <v>71</v>
      </c>
      <c r="E23" s="14">
        <f>'на 01.06.2016'!G931</f>
        <v>98628.15</v>
      </c>
      <c r="F23" s="14">
        <f>'на 01.06.2016'!H931</f>
        <v>130534.65</v>
      </c>
      <c r="G23" s="14">
        <f>'на 01.06.2016'!I931</f>
        <v>21513.03</v>
      </c>
      <c r="H23" s="14">
        <f>'на 01.06.2016'!K931</f>
        <v>21512.99</v>
      </c>
      <c r="I23" s="14">
        <f>G23-H23</f>
        <v>0.04</v>
      </c>
      <c r="J23" s="15">
        <f>H23/F23</f>
        <v>0.16</v>
      </c>
      <c r="K23" s="63" t="b">
        <f>E23='на 01.06.2016'!G931</f>
        <v>1</v>
      </c>
      <c r="L23" s="63" t="b">
        <f>F23='на 01.06.2016'!H931</f>
        <v>1</v>
      </c>
      <c r="M23" s="63" t="b">
        <f>G23='на 01.06.2016'!I931</f>
        <v>1</v>
      </c>
      <c r="N23" s="63" t="b">
        <f>H23='на 01.06.2016'!K931</f>
        <v>1</v>
      </c>
    </row>
    <row r="24" spans="1:14" s="16" customFormat="1" ht="40.5" x14ac:dyDescent="0.3">
      <c r="A24" s="11">
        <v>21</v>
      </c>
      <c r="B24" s="12" t="s">
        <v>298</v>
      </c>
      <c r="C24" s="22" t="s">
        <v>52</v>
      </c>
      <c r="D24" s="21" t="s">
        <v>72</v>
      </c>
      <c r="E24" s="431"/>
      <c r="F24" s="431"/>
      <c r="G24" s="431"/>
      <c r="H24" s="431"/>
      <c r="I24" s="431"/>
      <c r="J24" s="431"/>
      <c r="K24" s="64"/>
      <c r="L24" s="64"/>
      <c r="M24" s="64"/>
      <c r="N24" s="64"/>
    </row>
    <row r="25" spans="1:14" s="16" customFormat="1" ht="40.5" x14ac:dyDescent="0.3">
      <c r="A25" s="11">
        <v>22</v>
      </c>
      <c r="B25" s="12" t="s">
        <v>299</v>
      </c>
      <c r="C25" s="22" t="s">
        <v>284</v>
      </c>
      <c r="D25" s="23" t="s">
        <v>72</v>
      </c>
      <c r="E25" s="432"/>
      <c r="F25" s="432"/>
      <c r="G25" s="432"/>
      <c r="H25" s="432"/>
      <c r="I25" s="432"/>
      <c r="J25" s="432"/>
      <c r="K25" s="64"/>
      <c r="L25" s="64"/>
      <c r="M25" s="64"/>
      <c r="N25" s="64"/>
    </row>
    <row r="26" spans="1:14" s="16" customFormat="1" ht="40.5" x14ac:dyDescent="0.3">
      <c r="A26" s="11">
        <v>23</v>
      </c>
      <c r="B26" s="12" t="s">
        <v>300</v>
      </c>
      <c r="C26" s="22"/>
      <c r="D26" s="13" t="s">
        <v>72</v>
      </c>
      <c r="E26" s="432"/>
      <c r="F26" s="432"/>
      <c r="G26" s="432"/>
      <c r="H26" s="432"/>
      <c r="I26" s="432"/>
      <c r="J26" s="432"/>
      <c r="K26" s="64"/>
      <c r="L26" s="64"/>
      <c r="M26" s="64"/>
      <c r="N26" s="64"/>
    </row>
    <row r="27" spans="1:14" s="16" customFormat="1" ht="60.75" x14ac:dyDescent="0.3">
      <c r="A27" s="11">
        <v>24</v>
      </c>
      <c r="B27" s="12" t="s">
        <v>367</v>
      </c>
      <c r="C27" s="22"/>
      <c r="D27" s="23" t="s">
        <v>72</v>
      </c>
      <c r="E27" s="432"/>
      <c r="F27" s="432"/>
      <c r="G27" s="432"/>
      <c r="H27" s="432"/>
      <c r="I27" s="432"/>
      <c r="J27" s="432"/>
      <c r="K27" s="64"/>
      <c r="L27" s="64"/>
      <c r="M27" s="64"/>
      <c r="N27" s="64"/>
    </row>
    <row r="28" spans="1:14" s="16" customFormat="1" ht="60.75" x14ac:dyDescent="0.3">
      <c r="A28" s="11">
        <v>25</v>
      </c>
      <c r="B28" s="12" t="s">
        <v>301</v>
      </c>
      <c r="C28" s="22"/>
      <c r="D28" s="23" t="s">
        <v>72</v>
      </c>
      <c r="E28" s="432"/>
      <c r="F28" s="432"/>
      <c r="G28" s="432"/>
      <c r="H28" s="432"/>
      <c r="I28" s="432"/>
      <c r="J28" s="432"/>
      <c r="K28" s="64"/>
      <c r="L28" s="64"/>
      <c r="M28" s="64"/>
      <c r="N28" s="64"/>
    </row>
    <row r="29" spans="1:14" s="16" customFormat="1" ht="81" x14ac:dyDescent="0.3">
      <c r="A29" s="11">
        <v>26</v>
      </c>
      <c r="B29" s="364" t="s">
        <v>477</v>
      </c>
      <c r="C29" s="22"/>
      <c r="D29" s="363"/>
      <c r="E29" s="14">
        <f>'на 01.06.2016'!G997</f>
        <v>0</v>
      </c>
      <c r="F29" s="14">
        <f>'на 01.06.2016'!H997</f>
        <v>722.8</v>
      </c>
      <c r="G29" s="14">
        <f>'на 01.06.2016'!I997</f>
        <v>0</v>
      </c>
      <c r="H29" s="14">
        <f>'на 01.06.2016'!K997</f>
        <v>0</v>
      </c>
      <c r="I29" s="14">
        <f>G29-H29</f>
        <v>0</v>
      </c>
      <c r="J29" s="15">
        <f>H29/F29</f>
        <v>0</v>
      </c>
      <c r="K29" s="64"/>
      <c r="L29" s="64"/>
      <c r="M29" s="64"/>
      <c r="N29" s="64"/>
    </row>
    <row r="30" spans="1:14" ht="139.5" customHeight="1" x14ac:dyDescent="0.3">
      <c r="A30" s="433" t="s">
        <v>366</v>
      </c>
      <c r="B30" s="433"/>
      <c r="C30" s="433"/>
      <c r="D30" s="20" t="s">
        <v>103</v>
      </c>
      <c r="E30" s="8">
        <f>E4+E5+E6+E8+E9+E10+E11+E14+E15+E16+E17+E19+E21+E23+перечень!E29</f>
        <v>11671807</v>
      </c>
      <c r="F30" s="8">
        <f>F4+F5+F6+F8+F9+F10+F11+F14+F15+F16+F17+F19+F21+F23+перечень!F29</f>
        <v>12135010.15</v>
      </c>
      <c r="G30" s="8">
        <f>G4+G5+G6+G8+G9+G10+G11+G14+G15+G16+G17+G19+G21+G23+перечень!G29</f>
        <v>4681050.84</v>
      </c>
      <c r="H30" s="8">
        <f>H4+H5+H6+H8+H9+H10+H11+H14+H15+H16+H17+H19+H21+H23+перечень!H29</f>
        <v>4482401.26</v>
      </c>
      <c r="I30" s="8">
        <f>I4+I5+I6+I8+I9+I10+I11+I14+I15+I16+I17+I19+I21+I23+перечень!I29</f>
        <v>198649.58</v>
      </c>
      <c r="J30" s="9">
        <f>H30/F30</f>
        <v>0.37</v>
      </c>
      <c r="L30" s="64"/>
    </row>
    <row r="36" spans="2:10" x14ac:dyDescent="0.25">
      <c r="B36"/>
      <c r="E36" s="62" t="b">
        <f>E30='на 01.06.2016'!G11</f>
        <v>1</v>
      </c>
      <c r="F36" s="62" t="b">
        <f>F30='на 01.06.2016'!H11</f>
        <v>1</v>
      </c>
      <c r="G36" s="62" t="b">
        <f>G30='на 01.06.2016'!I11</f>
        <v>1</v>
      </c>
      <c r="H36" s="62" t="b">
        <f>H30='на 01.06.2016'!K11</f>
        <v>1</v>
      </c>
      <c r="I36" s="65" t="b">
        <f>'на 01.06.2016'!I11-'на 01.06.2016'!K11=перечень!I30</f>
        <v>1</v>
      </c>
      <c r="J36" s="62" t="b">
        <f>J30='на 01.06.2016'!L11</f>
        <v>1</v>
      </c>
    </row>
  </sheetData>
  <autoFilter ref="A3:D30"/>
  <customSheetViews>
    <customSheetView guid="{998B8119-4FF3-4A16-838D-539C6AE34D55}" scale="57" showPageBreaks="1" fitToPage="1" printArea="1" showAutoFilter="1" topLeftCell="A13">
      <selection activeCell="B23" sqref="B23"/>
      <pageMargins left="1.1023622047244095" right="0.70866141732283472" top="0.74803149606299213" bottom="0.74803149606299213" header="0.31496062992125984" footer="0.31496062992125984"/>
      <pageSetup paperSize="8" scale="79" fitToHeight="0" orientation="landscape" r:id="rId1"/>
      <autoFilter ref="A3:D29"/>
    </customSheetView>
    <customSheetView guid="{5FB953A5-71FF-4056-AF98-C9D06FF0EDF3}" scale="57" showPageBreaks="1" fitToPage="1" printArea="1" showAutoFilter="1" topLeftCell="A10">
      <selection activeCell="B14" sqref="B14"/>
      <pageMargins left="1.1023622047244095" right="0.70866141732283472" top="0.74803149606299213" bottom="0.74803149606299213" header="0.31496062992125984" footer="0.31496062992125984"/>
      <pageSetup paperSize="8" scale="78" fitToHeight="0" orientation="landscape" r:id="rId2"/>
      <autoFilter ref="A3:D29"/>
    </customSheetView>
    <customSheetView guid="{BEA0FDBA-BB07-4C19-8BBD-5E57EE395C09}" scale="57" showPageBreaks="1" fitToPage="1" printArea="1" showAutoFilter="1">
      <selection activeCell="E35" sqref="E35:J35"/>
      <pageMargins left="1.1023622047244095" right="0.70866141732283472" top="0.74803149606299213" bottom="0.74803149606299213" header="0.31496062992125984" footer="0.31496062992125984"/>
      <pageSetup paperSize="8" scale="78" fitToHeight="0" orientation="landscape" r:id="rId3"/>
      <autoFilter ref="A3:D29"/>
    </customSheetView>
    <customSheetView guid="{45DE1976-7F07-4EB4-8A9C-FB72D060BEFA}" scale="57" showPageBreaks="1" fitToPage="1" printArea="1" showAutoFilter="1">
      <selection activeCell="E35" sqref="E35:J35"/>
      <pageMargins left="1.1023622047244095" right="0.70866141732283472" top="0.74803149606299213" bottom="0.74803149606299213" header="0.31496062992125984" footer="0.31496062992125984"/>
      <pageSetup paperSize="8" scale="78" fitToHeight="0" orientation="landscape" r:id="rId4"/>
      <autoFilter ref="A3:D29"/>
    </customSheetView>
    <customSheetView guid="{7B245AB0-C2AF-4822-BFC4-2399F85856C1}" scale="57" showPageBreaks="1" fitToPage="1" printArea="1" showAutoFilter="1">
      <selection activeCell="E35" sqref="E35:J35"/>
      <pageMargins left="1.1023622047244095" right="0.70866141732283472" top="0.74803149606299213" bottom="0.74803149606299213" header="0.31496062992125984" footer="0.31496062992125984"/>
      <pageSetup paperSize="8" scale="78" fitToHeight="0" orientation="landscape" r:id="rId5"/>
      <autoFilter ref="A3:D29"/>
    </customSheetView>
    <customSheetView guid="{2F7AC811-CA37-46E3-866E-6E10DF43054A}" scale="57" showPageBreaks="1" fitToPage="1" printArea="1" showAutoFilter="1" topLeftCell="A7">
      <selection activeCell="B44" sqref="B44"/>
      <pageMargins left="1.1023622047244095" right="0.70866141732283472" top="0.74803149606299213" bottom="0.74803149606299213" header="0.31496062992125984" footer="0.31496062992125984"/>
      <pageSetup paperSize="8" scale="78" fitToHeight="0" orientation="landscape" r:id="rId6"/>
      <autoFilter ref="A3:D29"/>
    </customSheetView>
    <customSheetView guid="{CB1A56DC-A135-41E6-8A02-AE4E518C879F}" scale="57" showPageBreaks="1" fitToPage="1" printArea="1" showAutoFilter="1" topLeftCell="A13">
      <selection activeCell="B22" sqref="B22"/>
      <pageMargins left="1.1023622047244095" right="0.70866141732283472" top="0.74803149606299213" bottom="0.74803149606299213" header="0.31496062992125984" footer="0.31496062992125984"/>
      <pageSetup paperSize="8" scale="78" fitToHeight="0" orientation="landscape" r:id="rId7"/>
      <autoFilter ref="A3:D29"/>
    </customSheetView>
    <customSheetView guid="{F2110B0B-AAE7-42F0-B553-C360E9249AD4}"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8"/>
      <autoFilter ref="A3:D29"/>
    </customSheetView>
    <customSheetView guid="{D7BC8E82-4392-4806-9DAE-D94253790B9C}"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9"/>
      <autoFilter ref="A3:D29"/>
    </customSheetView>
    <customSheetView guid="{A6B98527-7CBF-4E4D-BDEA-9334A3EB779F}" scale="57" showPageBreaks="1" fitToPage="1" printArea="1" showAutoFilter="1">
      <selection activeCell="C4" sqref="C4:D11"/>
      <pageMargins left="1.1023622047244095" right="0.70866141732283472" top="0.74803149606299213" bottom="0.74803149606299213" header="0.31496062992125984" footer="0.31496062992125984"/>
      <pageSetup paperSize="8" scale="78" fitToHeight="0" orientation="landscape" r:id="rId10"/>
      <autoFilter ref="A3:D29"/>
    </customSheetView>
    <customSheetView guid="{D20DFCFE-63F9-4265-B37B-4F36C46DF159}" scale="57" showPageBreaks="1" fitToPage="1" printArea="1" showAutoFilter="1" topLeftCell="A7">
      <selection activeCell="B23" sqref="B23"/>
      <pageMargins left="1.1023622047244095" right="0.70866141732283472" top="0.74803149606299213" bottom="0.74803149606299213" header="0.31496062992125984" footer="0.31496062992125984"/>
      <pageSetup paperSize="8" scale="78" fitToHeight="0" orientation="landscape" r:id="rId11"/>
      <autoFilter ref="A3:D29"/>
    </customSheetView>
    <customSheetView guid="{A0A3CD9B-2436-40D7-91DB-589A95FBBF00}" scale="57" fitToPage="1" showAutoFilter="1">
      <selection activeCell="E35" sqref="E35:J35"/>
      <pageMargins left="1.1023622047244095" right="0.70866141732283472" top="0.74803149606299213" bottom="0.74803149606299213" header="0.31496062992125984" footer="0.31496062992125984"/>
      <pageSetup paperSize="8" scale="78" fitToHeight="0" orientation="landscape" r:id="rId12"/>
      <autoFilter ref="A3:D29"/>
    </customSheetView>
    <customSheetView guid="{539CB3DF-9B66-4BE7-9074-8CE0405EB8A6}" scale="57" showPageBreaks="1" fitToPage="1" printArea="1" showAutoFilter="1">
      <selection activeCell="B11" sqref="B11"/>
      <pageMargins left="1.1023622047244095" right="0.70866141732283472" top="0.74803149606299213" bottom="0.74803149606299213" header="0.31496062992125984" footer="0.31496062992125984"/>
      <pageSetup paperSize="8" scale="79" fitToHeight="0" orientation="landscape" r:id="rId13"/>
      <autoFilter ref="A3:D29"/>
    </customSheetView>
    <customSheetView guid="{67ADFAE6-A9AF-44D7-8539-93CD0F6B7849}" scale="57" fitToPage="1" showAutoFilter="1">
      <selection activeCell="E35" sqref="E35:J35"/>
      <pageMargins left="1.1023622047244095" right="0.70866141732283472" top="0.74803149606299213" bottom="0.74803149606299213" header="0.31496062992125984" footer="0.31496062992125984"/>
      <pageSetup paperSize="8" scale="78" fitToHeight="0" orientation="landscape" r:id="rId14"/>
      <autoFilter ref="A3:D29"/>
    </customSheetView>
  </customSheetViews>
  <mergeCells count="14">
    <mergeCell ref="A1:J1"/>
    <mergeCell ref="E24:J24"/>
    <mergeCell ref="E7:J7"/>
    <mergeCell ref="A30:C30"/>
    <mergeCell ref="E12:J12"/>
    <mergeCell ref="E20:J20"/>
    <mergeCell ref="E22:J22"/>
    <mergeCell ref="E26:J26"/>
    <mergeCell ref="E13:J13"/>
    <mergeCell ref="E27:J27"/>
    <mergeCell ref="E28:J28"/>
    <mergeCell ref="E18:J18"/>
    <mergeCell ref="E25:J25"/>
    <mergeCell ref="E17:J17"/>
  </mergeCells>
  <pageMargins left="1.1023622047244095" right="0.70866141732283472" top="0.74803149606299213" bottom="0.74803149606299213" header="0.31496062992125984" footer="0.31496062992125984"/>
  <pageSetup paperSize="8" scale="78" fitToHeight="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01.06.2016</vt:lpstr>
      <vt:lpstr>перечень</vt:lpstr>
      <vt:lpstr>'на 01.06.2016'!Заголовки_для_печати</vt:lpstr>
      <vt:lpstr>перечень!Заголовки_для_печати</vt:lpstr>
      <vt:lpstr>'на 01.06.2016'!Область_печати</vt:lpstr>
      <vt:lpstr>перечень!Область_печати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Бергер Ольга Сергеевна</cp:lastModifiedBy>
  <cp:lastPrinted>2016-06-03T11:50:19Z</cp:lastPrinted>
  <dcterms:created xsi:type="dcterms:W3CDTF">2011-12-13T05:34:09Z</dcterms:created>
  <dcterms:modified xsi:type="dcterms:W3CDTF">2016-06-03T12:25:54Z</dcterms:modified>
</cp:coreProperties>
</file>